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-15" yWindow="105" windowWidth="12120" windowHeight="2850" activeTab="5"/>
  </bookViews>
  <sheets>
    <sheet name="NMMU Engineer" sheetId="2" r:id="rId1"/>
    <sheet name="NMMU Life Phys Sc" sheetId="3" r:id="rId2"/>
    <sheet name="NMMU Animal Science" sheetId="4" r:id="rId3"/>
    <sheet name="NMMU Vet Science" sheetId="5" r:id="rId4"/>
    <sheet name="NMMU Human Health" sheetId="6" r:id="rId5"/>
    <sheet name="NMMU Teacher Education" sheetId="7" r:id="rId6"/>
  </sheets>
  <calcPr calcId="145621"/>
</workbook>
</file>

<file path=xl/calcChain.xml><?xml version="1.0" encoding="utf-8"?>
<calcChain xmlns="http://schemas.openxmlformats.org/spreadsheetml/2006/main">
  <c r="L62" i="6" l="1"/>
  <c r="M62" i="6"/>
  <c r="N62" i="6"/>
  <c r="O62" i="6"/>
  <c r="P62" i="6"/>
  <c r="K62" i="6"/>
  <c r="C69" i="6"/>
  <c r="D69" i="6"/>
  <c r="E69" i="6"/>
  <c r="F69" i="6"/>
  <c r="D118" i="6" l="1"/>
  <c r="F78" i="6"/>
  <c r="F76" i="6"/>
  <c r="D36" i="6"/>
  <c r="D37" i="6"/>
  <c r="E90" i="6" l="1"/>
  <c r="E89" i="6"/>
  <c r="E87" i="6"/>
  <c r="E79" i="6"/>
  <c r="F59" i="7" l="1"/>
  <c r="F58" i="7"/>
  <c r="F57" i="7"/>
  <c r="F50" i="7"/>
  <c r="F41" i="7"/>
  <c r="F40" i="7"/>
  <c r="F17" i="7"/>
  <c r="E101" i="6" l="1"/>
  <c r="E103" i="6"/>
  <c r="E104" i="6"/>
  <c r="E107" i="6"/>
  <c r="E109" i="6"/>
  <c r="E110" i="6"/>
  <c r="E118" i="6"/>
  <c r="E119" i="6"/>
  <c r="D120" i="6"/>
  <c r="O30" i="6" l="1"/>
  <c r="N30" i="6"/>
  <c r="M30" i="6"/>
  <c r="L30" i="6"/>
  <c r="K30" i="6"/>
  <c r="J30" i="6"/>
  <c r="O79" i="6"/>
  <c r="N103" i="6"/>
  <c r="M103" i="6"/>
  <c r="P78" i="3" l="1"/>
  <c r="O78" i="3"/>
  <c r="N78" i="3"/>
  <c r="M78" i="3"/>
  <c r="L78" i="3"/>
  <c r="K78" i="3"/>
  <c r="C78" i="3"/>
  <c r="D78" i="3"/>
  <c r="E78" i="3"/>
  <c r="F78" i="3"/>
  <c r="B78" i="3"/>
  <c r="L86" i="3"/>
  <c r="M86" i="3"/>
  <c r="N86" i="3"/>
  <c r="O86" i="3"/>
  <c r="K86" i="3"/>
  <c r="L18" i="3"/>
  <c r="M18" i="3"/>
  <c r="N18" i="3"/>
  <c r="O18" i="3"/>
  <c r="P18" i="3"/>
  <c r="K18" i="3"/>
  <c r="C18" i="3"/>
  <c r="D18" i="3"/>
  <c r="E18" i="3"/>
  <c r="F18" i="3"/>
  <c r="B18" i="3"/>
  <c r="L17" i="6" l="1"/>
  <c r="M17" i="6"/>
  <c r="N17" i="6"/>
  <c r="O17" i="6"/>
  <c r="P17" i="6"/>
  <c r="K17" i="6"/>
  <c r="C17" i="6"/>
  <c r="D17" i="6"/>
  <c r="E17" i="6"/>
  <c r="B17" i="6"/>
  <c r="L79" i="6"/>
  <c r="M79" i="6"/>
  <c r="N79" i="6"/>
  <c r="K79" i="6"/>
  <c r="C79" i="6"/>
  <c r="D79" i="6"/>
  <c r="F79" i="6"/>
  <c r="G79" i="6"/>
  <c r="H79" i="6"/>
  <c r="I79" i="6"/>
  <c r="B79" i="6"/>
  <c r="L100" i="3" l="1"/>
  <c r="M100" i="3"/>
  <c r="N100" i="3"/>
  <c r="O100" i="3"/>
  <c r="J100" i="3"/>
  <c r="L66" i="4"/>
  <c r="M66" i="4"/>
  <c r="N66" i="4"/>
  <c r="K66" i="4"/>
  <c r="F68" i="3"/>
  <c r="E113" i="3"/>
  <c r="E114" i="3"/>
  <c r="E112" i="3"/>
  <c r="E97" i="3"/>
  <c r="E99" i="3"/>
  <c r="E100" i="3"/>
  <c r="E102" i="3"/>
  <c r="E106" i="3"/>
  <c r="E115" i="3"/>
  <c r="E96" i="3"/>
  <c r="D117" i="3"/>
  <c r="D108" i="3"/>
  <c r="M88" i="2"/>
  <c r="O88" i="2"/>
  <c r="P86" i="2"/>
  <c r="L88" i="2"/>
  <c r="K98" i="2" s="1"/>
  <c r="N88" i="2"/>
  <c r="P88" i="2"/>
  <c r="K88" i="2"/>
  <c r="Q64" i="2"/>
  <c r="O53" i="2"/>
  <c r="N53" i="2"/>
  <c r="M53" i="2"/>
  <c r="L53" i="2"/>
  <c r="O51" i="2"/>
  <c r="N51" i="2"/>
  <c r="L51" i="2"/>
  <c r="O38" i="2"/>
  <c r="N38" i="2"/>
  <c r="M38" i="2"/>
  <c r="L38" i="2"/>
  <c r="O32" i="2"/>
  <c r="N32" i="2"/>
  <c r="M32" i="2"/>
  <c r="L32" i="2"/>
  <c r="M30" i="2"/>
  <c r="L30" i="2"/>
  <c r="F87" i="3"/>
  <c r="F85" i="3"/>
  <c r="C38" i="3"/>
  <c r="B38" i="3"/>
  <c r="F48" i="4"/>
  <c r="F67" i="4"/>
  <c r="K137" i="2" l="1"/>
  <c r="N137" i="2"/>
  <c r="N18" i="2"/>
  <c r="M98" i="2" s="1"/>
  <c r="O18" i="2"/>
  <c r="N98" i="2" s="1"/>
  <c r="P18" i="2"/>
  <c r="O98" i="2" s="1"/>
  <c r="M18" i="2"/>
  <c r="L98" i="2" s="1"/>
  <c r="O137" i="2" l="1"/>
  <c r="M137" i="2"/>
  <c r="L137" i="2"/>
  <c r="F78" i="2" l="1"/>
  <c r="D137" i="2"/>
  <c r="E133" i="2"/>
  <c r="E132" i="2"/>
  <c r="E131" i="2"/>
  <c r="E118" i="2"/>
  <c r="E112" i="2"/>
  <c r="E111" i="2"/>
  <c r="E110" i="2"/>
  <c r="E53" i="2"/>
  <c r="E52" i="2"/>
  <c r="E51" i="2"/>
  <c r="E38" i="2"/>
  <c r="E37" i="2"/>
  <c r="E32" i="2"/>
  <c r="E31" i="2"/>
  <c r="E30" i="2"/>
  <c r="B18" i="2"/>
  <c r="F87" i="2"/>
  <c r="F14" i="2"/>
  <c r="F17" i="2"/>
  <c r="F15" i="2"/>
  <c r="F95" i="2" s="1"/>
  <c r="F88" i="2" l="1"/>
  <c r="F97" i="2"/>
  <c r="P132" i="2"/>
  <c r="P131" i="2"/>
  <c r="P118" i="2"/>
  <c r="P111" i="2"/>
  <c r="P119" i="6"/>
  <c r="Q14" i="6"/>
  <c r="Q16" i="6"/>
  <c r="Q13" i="6"/>
  <c r="P28" i="6"/>
  <c r="C47" i="6"/>
  <c r="B47" i="6"/>
  <c r="I47" i="6" s="1"/>
  <c r="D46" i="6"/>
  <c r="E46" i="6" s="1"/>
  <c r="D45" i="6"/>
  <c r="E45" i="6" s="1"/>
  <c r="E37" i="6"/>
  <c r="E36" i="6"/>
  <c r="E34" i="6"/>
  <c r="D31" i="6"/>
  <c r="E31" i="6" s="1"/>
  <c r="E30" i="6"/>
  <c r="E28" i="6"/>
  <c r="J55" i="4"/>
  <c r="I25" i="4"/>
  <c r="G26" i="4"/>
  <c r="H26" i="4"/>
  <c r="B26" i="4"/>
  <c r="C26" i="4"/>
  <c r="F26" i="4"/>
  <c r="Q15" i="4"/>
  <c r="Q17" i="4"/>
  <c r="Q14" i="4"/>
  <c r="J15" i="4"/>
  <c r="J16" i="7"/>
  <c r="J15" i="7"/>
  <c r="J14" i="7"/>
  <c r="J25" i="7"/>
  <c r="J24" i="7"/>
  <c r="J33" i="7"/>
  <c r="J32" i="7"/>
  <c r="J49" i="7"/>
  <c r="J48" i="7"/>
  <c r="Q49" i="7"/>
  <c r="Q48" i="7"/>
  <c r="Q33" i="7"/>
  <c r="Q32" i="7"/>
  <c r="Q25" i="7"/>
  <c r="Q24" i="7"/>
  <c r="Q15" i="7"/>
  <c r="Q16" i="7"/>
  <c r="Q14" i="7"/>
  <c r="P133" i="2" l="1"/>
  <c r="P112" i="2"/>
  <c r="P110" i="2"/>
  <c r="O47" i="6"/>
  <c r="N47" i="6"/>
  <c r="M47" i="6"/>
  <c r="L47" i="6"/>
  <c r="K47" i="6"/>
  <c r="J47" i="6"/>
  <c r="D47" i="6"/>
  <c r="E47" i="6" s="1"/>
  <c r="I26" i="4"/>
  <c r="P47" i="6" l="1"/>
  <c r="E49" i="7" l="1"/>
  <c r="E48" i="7"/>
  <c r="D48" i="7"/>
  <c r="E24" i="7"/>
  <c r="E16" i="7"/>
  <c r="F15" i="4" l="1"/>
  <c r="D29" i="3"/>
  <c r="D26" i="3"/>
  <c r="F16" i="6"/>
  <c r="F14" i="6"/>
  <c r="F88" i="3"/>
  <c r="F13" i="6"/>
  <c r="F14" i="3"/>
  <c r="F17" i="6" l="1"/>
  <c r="F18" i="4"/>
  <c r="F68" i="4" s="1"/>
  <c r="F65" i="4"/>
  <c r="D38" i="3"/>
  <c r="F18" i="2"/>
  <c r="F98" i="2" s="1"/>
  <c r="E26" i="4"/>
  <c r="E25" i="4"/>
  <c r="O77" i="5"/>
  <c r="N77" i="5"/>
  <c r="M77" i="5"/>
  <c r="L77" i="5"/>
  <c r="K77" i="5"/>
  <c r="J77" i="5"/>
  <c r="H77" i="5"/>
  <c r="G77" i="5"/>
  <c r="F77" i="5"/>
  <c r="D77" i="5"/>
  <c r="O58" i="5"/>
  <c r="N58" i="5"/>
  <c r="M58" i="5"/>
  <c r="L58" i="5"/>
  <c r="K58" i="5"/>
  <c r="J58" i="5"/>
  <c r="H58" i="5"/>
  <c r="G58" i="5"/>
  <c r="F58" i="5"/>
  <c r="O41" i="7" l="1"/>
  <c r="N41" i="7"/>
  <c r="M41" i="7"/>
  <c r="L41" i="7"/>
  <c r="K41" i="7"/>
  <c r="J41" i="7"/>
  <c r="I41" i="7"/>
  <c r="H41" i="7"/>
  <c r="G41" i="7"/>
  <c r="E41" i="7"/>
  <c r="D41" i="7"/>
  <c r="C41" i="7"/>
  <c r="B41" i="7"/>
  <c r="J78" i="6"/>
  <c r="J76" i="6"/>
  <c r="J62" i="6"/>
  <c r="J55" i="6"/>
  <c r="J16" i="6"/>
  <c r="J14" i="6"/>
  <c r="J13" i="6"/>
  <c r="J41" i="4"/>
  <c r="J34" i="4"/>
  <c r="J77" i="3"/>
  <c r="J75" i="3"/>
  <c r="J61" i="3"/>
  <c r="J54" i="3"/>
  <c r="J15" i="3"/>
  <c r="J14" i="3"/>
  <c r="J87" i="2"/>
  <c r="J85" i="2"/>
  <c r="J71" i="2"/>
  <c r="J64" i="2"/>
  <c r="J17" i="2"/>
  <c r="J15" i="2"/>
  <c r="J14" i="2"/>
  <c r="G18" i="2"/>
  <c r="C108" i="3"/>
  <c r="B108" i="3"/>
  <c r="E108" i="3" s="1"/>
  <c r="C120" i="6"/>
  <c r="I120" i="6" s="1"/>
  <c r="B120" i="6"/>
  <c r="E120" i="6" s="1"/>
  <c r="C77" i="5"/>
  <c r="B77" i="5"/>
  <c r="O76" i="4"/>
  <c r="N76" i="4"/>
  <c r="M76" i="4"/>
  <c r="L76" i="4"/>
  <c r="K76" i="4"/>
  <c r="J76" i="4"/>
  <c r="H76" i="4"/>
  <c r="G76" i="4"/>
  <c r="F76" i="4"/>
  <c r="C76" i="4"/>
  <c r="B76" i="4"/>
  <c r="P75" i="4"/>
  <c r="I75" i="4"/>
  <c r="O117" i="3"/>
  <c r="N117" i="3"/>
  <c r="M117" i="3"/>
  <c r="L117" i="3"/>
  <c r="K117" i="3"/>
  <c r="J117" i="3"/>
  <c r="C117" i="3"/>
  <c r="B117" i="3"/>
  <c r="E117" i="3" s="1"/>
  <c r="P115" i="3"/>
  <c r="P114" i="3"/>
  <c r="P113" i="3"/>
  <c r="P112" i="3"/>
  <c r="O108" i="3"/>
  <c r="N108" i="3"/>
  <c r="M108" i="3"/>
  <c r="L108" i="3"/>
  <c r="K108" i="3"/>
  <c r="J108" i="3"/>
  <c r="P107" i="3"/>
  <c r="P106" i="3"/>
  <c r="P102" i="3"/>
  <c r="P99" i="3"/>
  <c r="P97" i="3"/>
  <c r="P96" i="3"/>
  <c r="J17" i="3"/>
  <c r="P76" i="4" l="1"/>
  <c r="P108" i="3"/>
  <c r="I76" i="4"/>
  <c r="P117" i="3"/>
  <c r="J137" i="2"/>
  <c r="C137" i="2"/>
  <c r="B137" i="2"/>
  <c r="E137" i="2" s="1"/>
  <c r="O27" i="5"/>
  <c r="N27" i="5"/>
  <c r="M27" i="5"/>
  <c r="L27" i="5"/>
  <c r="K27" i="5"/>
  <c r="J27" i="5"/>
  <c r="G27" i="5"/>
  <c r="F27" i="5"/>
  <c r="D27" i="5"/>
  <c r="C27" i="5"/>
  <c r="B27" i="5"/>
  <c r="O47" i="3"/>
  <c r="N47" i="3"/>
  <c r="M47" i="3"/>
  <c r="L47" i="3"/>
  <c r="K47" i="3"/>
  <c r="J47" i="3"/>
  <c r="D47" i="3"/>
  <c r="F56" i="3" s="1"/>
  <c r="C47" i="3"/>
  <c r="E56" i="3" s="1"/>
  <c r="B47" i="3"/>
  <c r="P45" i="3"/>
  <c r="E45" i="3"/>
  <c r="P44" i="3"/>
  <c r="E44" i="3"/>
  <c r="P43" i="3"/>
  <c r="E43" i="3"/>
  <c r="P42" i="3"/>
  <c r="E42" i="3"/>
  <c r="O38" i="3"/>
  <c r="N38" i="3"/>
  <c r="M38" i="3"/>
  <c r="L38" i="3"/>
  <c r="K38" i="3"/>
  <c r="J38" i="3"/>
  <c r="P37" i="3"/>
  <c r="P36" i="3"/>
  <c r="E36" i="3"/>
  <c r="P32" i="3"/>
  <c r="E32" i="3"/>
  <c r="P30" i="3"/>
  <c r="E30" i="3"/>
  <c r="P29" i="3"/>
  <c r="E29" i="3"/>
  <c r="P28" i="3"/>
  <c r="E28" i="3"/>
  <c r="P27" i="3"/>
  <c r="E27" i="3"/>
  <c r="P26" i="3"/>
  <c r="E26" i="3"/>
  <c r="O57" i="2"/>
  <c r="N57" i="2"/>
  <c r="M57" i="2"/>
  <c r="L57" i="2"/>
  <c r="K57" i="2"/>
  <c r="J57" i="2"/>
  <c r="F57" i="2"/>
  <c r="D57" i="2"/>
  <c r="C57" i="2"/>
  <c r="B57" i="2"/>
  <c r="P53" i="2"/>
  <c r="P52" i="2"/>
  <c r="P51" i="2"/>
  <c r="P38" i="2"/>
  <c r="P37" i="2"/>
  <c r="P32" i="2"/>
  <c r="P31" i="2"/>
  <c r="P30" i="2"/>
  <c r="G50" i="7"/>
  <c r="G17" i="7"/>
  <c r="G17" i="6"/>
  <c r="F18" i="5"/>
  <c r="G58" i="4"/>
  <c r="G18" i="4"/>
  <c r="G14" i="4" s="1"/>
  <c r="G88" i="2"/>
  <c r="G68" i="3"/>
  <c r="G78" i="3"/>
  <c r="G87" i="3"/>
  <c r="G85" i="3"/>
  <c r="G18" i="3"/>
  <c r="G48" i="4"/>
  <c r="G67" i="4"/>
  <c r="G65" i="4"/>
  <c r="G69" i="6"/>
  <c r="G89" i="6"/>
  <c r="G87" i="6"/>
  <c r="G40" i="7"/>
  <c r="G58" i="7"/>
  <c r="G57" i="7"/>
  <c r="G78" i="2"/>
  <c r="G97" i="2"/>
  <c r="G95" i="2"/>
  <c r="Q14" i="2"/>
  <c r="O40" i="7"/>
  <c r="N40" i="7"/>
  <c r="M40" i="7"/>
  <c r="L40" i="7"/>
  <c r="K40" i="7"/>
  <c r="J40" i="7"/>
  <c r="O89" i="6"/>
  <c r="N89" i="6"/>
  <c r="M89" i="6"/>
  <c r="L89" i="6"/>
  <c r="K89" i="6"/>
  <c r="J89" i="6"/>
  <c r="J87" i="6"/>
  <c r="Q55" i="6"/>
  <c r="Q62" i="6"/>
  <c r="Q78" i="6"/>
  <c r="P50" i="7"/>
  <c r="O50" i="7"/>
  <c r="N50" i="7"/>
  <c r="M50" i="7"/>
  <c r="L50" i="7"/>
  <c r="K50" i="7"/>
  <c r="O58" i="7"/>
  <c r="N58" i="7"/>
  <c r="M58" i="7"/>
  <c r="L58" i="7"/>
  <c r="K58" i="7"/>
  <c r="O57" i="7"/>
  <c r="N57" i="7"/>
  <c r="M57" i="7"/>
  <c r="L57" i="7"/>
  <c r="K57" i="7"/>
  <c r="J58" i="7"/>
  <c r="J57" i="7"/>
  <c r="P17" i="7"/>
  <c r="O17" i="7"/>
  <c r="N17" i="7"/>
  <c r="M17" i="7"/>
  <c r="L17" i="7"/>
  <c r="K17" i="7"/>
  <c r="Q17" i="6"/>
  <c r="O18" i="5"/>
  <c r="N18" i="5"/>
  <c r="M18" i="5"/>
  <c r="L18" i="5"/>
  <c r="K18" i="5"/>
  <c r="J18" i="5"/>
  <c r="O65" i="4"/>
  <c r="N65" i="4"/>
  <c r="M65" i="4"/>
  <c r="L65" i="4"/>
  <c r="K65" i="4"/>
  <c r="J67" i="4"/>
  <c r="J65" i="4"/>
  <c r="O87" i="3"/>
  <c r="N87" i="3"/>
  <c r="M87" i="3"/>
  <c r="L87" i="3"/>
  <c r="K87" i="3"/>
  <c r="O85" i="3"/>
  <c r="N85" i="3"/>
  <c r="M85" i="3"/>
  <c r="L85" i="3"/>
  <c r="K85" i="3"/>
  <c r="J87" i="3"/>
  <c r="J85" i="3"/>
  <c r="P58" i="4"/>
  <c r="O58" i="4"/>
  <c r="N58" i="4"/>
  <c r="M58" i="4"/>
  <c r="L58" i="4"/>
  <c r="K58" i="4"/>
  <c r="Q57" i="4"/>
  <c r="Q55" i="4"/>
  <c r="O48" i="4"/>
  <c r="N48" i="4"/>
  <c r="M48" i="4"/>
  <c r="L48" i="4"/>
  <c r="K48" i="4"/>
  <c r="J48" i="4"/>
  <c r="Q41" i="4"/>
  <c r="Q34" i="4"/>
  <c r="P18" i="4"/>
  <c r="O25" i="4" s="1"/>
  <c r="O26" i="4" s="1"/>
  <c r="O18" i="4"/>
  <c r="N25" i="4" s="1"/>
  <c r="N26" i="4" s="1"/>
  <c r="N18" i="4"/>
  <c r="M25" i="4" s="1"/>
  <c r="M26" i="4" s="1"/>
  <c r="M18" i="4"/>
  <c r="L25" i="4" s="1"/>
  <c r="L26" i="4" s="1"/>
  <c r="L18" i="4"/>
  <c r="K25" i="4" s="1"/>
  <c r="K26" i="4" s="1"/>
  <c r="K18" i="4"/>
  <c r="J25" i="4" s="1"/>
  <c r="Q77" i="3"/>
  <c r="Q75" i="3"/>
  <c r="Q61" i="3"/>
  <c r="Q54" i="3"/>
  <c r="K18" i="2"/>
  <c r="J98" i="2" s="1"/>
  <c r="O88" i="3"/>
  <c r="N88" i="3"/>
  <c r="M88" i="3"/>
  <c r="L88" i="3"/>
  <c r="K88" i="3"/>
  <c r="J88" i="3"/>
  <c r="Q17" i="3"/>
  <c r="Q15" i="3"/>
  <c r="Q14" i="3"/>
  <c r="Q87" i="2"/>
  <c r="Q85" i="2"/>
  <c r="Q71" i="2"/>
  <c r="Q17" i="2"/>
  <c r="Q15" i="2"/>
  <c r="Q50" i="7" l="1"/>
  <c r="Q18" i="2"/>
  <c r="P137" i="2"/>
  <c r="G98" i="2"/>
  <c r="Q17" i="7"/>
  <c r="P25" i="4"/>
  <c r="J26" i="4"/>
  <c r="P26" i="4" s="1"/>
  <c r="Q18" i="4"/>
  <c r="L59" i="7"/>
  <c r="K59" i="7"/>
  <c r="O59" i="7"/>
  <c r="E57" i="2"/>
  <c r="P38" i="3"/>
  <c r="P47" i="3"/>
  <c r="P57" i="2"/>
  <c r="E38" i="3"/>
  <c r="E47" i="3"/>
  <c r="G59" i="7"/>
  <c r="J90" i="6"/>
  <c r="M59" i="7"/>
  <c r="G68" i="4"/>
  <c r="Q18" i="3"/>
  <c r="G88" i="3"/>
  <c r="G90" i="6"/>
  <c r="K68" i="4"/>
  <c r="M68" i="4"/>
  <c r="O68" i="4"/>
  <c r="Q58" i="4"/>
  <c r="L68" i="4"/>
  <c r="N68" i="4"/>
  <c r="J59" i="7"/>
  <c r="N59" i="7"/>
  <c r="J68" i="4"/>
  <c r="Q88" i="2"/>
  <c r="P118" i="6" l="1"/>
  <c r="J120" i="6"/>
  <c r="I58" i="7"/>
  <c r="H17" i="7"/>
  <c r="I17" i="7"/>
  <c r="E17" i="7"/>
  <c r="D17" i="7"/>
  <c r="C17" i="7"/>
  <c r="B17" i="7"/>
  <c r="B69" i="6"/>
  <c r="B95" i="2"/>
  <c r="H58" i="7"/>
  <c r="E58" i="7"/>
  <c r="D58" i="7"/>
  <c r="C58" i="7"/>
  <c r="B58" i="7"/>
  <c r="I57" i="7"/>
  <c r="H57" i="7"/>
  <c r="E57" i="7"/>
  <c r="D57" i="7"/>
  <c r="C57" i="7"/>
  <c r="B57" i="7"/>
  <c r="I50" i="7"/>
  <c r="H50" i="7"/>
  <c r="H59" i="7" s="1"/>
  <c r="E50" i="7"/>
  <c r="D50" i="7"/>
  <c r="C50" i="7"/>
  <c r="B50" i="7"/>
  <c r="I40" i="7"/>
  <c r="H40" i="7"/>
  <c r="E40" i="7"/>
  <c r="D40" i="7"/>
  <c r="C40" i="7"/>
  <c r="B40" i="7"/>
  <c r="I89" i="6"/>
  <c r="H89" i="6"/>
  <c r="F89" i="6"/>
  <c r="D89" i="6"/>
  <c r="C89" i="6"/>
  <c r="B89" i="6"/>
  <c r="I87" i="6"/>
  <c r="H87" i="6"/>
  <c r="F87" i="6"/>
  <c r="D87" i="6"/>
  <c r="C87" i="6"/>
  <c r="B87" i="6"/>
  <c r="I69" i="6"/>
  <c r="H69" i="6"/>
  <c r="I17" i="6"/>
  <c r="J17" i="6" s="1"/>
  <c r="H17" i="6"/>
  <c r="E58" i="5"/>
  <c r="D58" i="5"/>
  <c r="C58" i="5"/>
  <c r="B58" i="5"/>
  <c r="H18" i="5"/>
  <c r="G18" i="5"/>
  <c r="E18" i="5"/>
  <c r="D18" i="5"/>
  <c r="C18" i="5"/>
  <c r="B18" i="5"/>
  <c r="I67" i="4"/>
  <c r="H67" i="4"/>
  <c r="E67" i="4"/>
  <c r="D67" i="4"/>
  <c r="I65" i="4"/>
  <c r="H65" i="4"/>
  <c r="E65" i="4"/>
  <c r="D65" i="4"/>
  <c r="C65" i="4"/>
  <c r="B65" i="4"/>
  <c r="I58" i="4"/>
  <c r="H58" i="4"/>
  <c r="I48" i="4"/>
  <c r="H48" i="4"/>
  <c r="E48" i="4"/>
  <c r="D48" i="4"/>
  <c r="C48" i="4"/>
  <c r="B48" i="4"/>
  <c r="I18" i="4"/>
  <c r="H18" i="4"/>
  <c r="H14" i="4" s="1"/>
  <c r="E18" i="4"/>
  <c r="D18" i="4"/>
  <c r="C18" i="4"/>
  <c r="B18" i="4"/>
  <c r="I87" i="3"/>
  <c r="H87" i="3"/>
  <c r="E87" i="3"/>
  <c r="D87" i="3"/>
  <c r="C87" i="3"/>
  <c r="B87" i="3"/>
  <c r="I85" i="3"/>
  <c r="H85" i="3"/>
  <c r="E85" i="3"/>
  <c r="D85" i="3"/>
  <c r="C85" i="3"/>
  <c r="B85" i="3"/>
  <c r="I78" i="3"/>
  <c r="H78" i="3"/>
  <c r="C68" i="3"/>
  <c r="B68" i="3"/>
  <c r="I18" i="3"/>
  <c r="H18" i="3"/>
  <c r="J18" i="3"/>
  <c r="I97" i="2"/>
  <c r="H97" i="2"/>
  <c r="E97" i="2"/>
  <c r="D97" i="2"/>
  <c r="C97" i="2"/>
  <c r="B97" i="2"/>
  <c r="I95" i="2"/>
  <c r="H95" i="2"/>
  <c r="E95" i="2"/>
  <c r="D95" i="2"/>
  <c r="C95" i="2"/>
  <c r="I18" i="2"/>
  <c r="H18" i="2"/>
  <c r="E18" i="2"/>
  <c r="D18" i="2"/>
  <c r="C18" i="2"/>
  <c r="J18" i="2" s="1"/>
  <c r="I78" i="2"/>
  <c r="H78" i="2"/>
  <c r="E78" i="2"/>
  <c r="D78" i="2"/>
  <c r="C78" i="2"/>
  <c r="B78" i="2"/>
  <c r="I88" i="2"/>
  <c r="H88" i="2"/>
  <c r="E88" i="2"/>
  <c r="D88" i="2"/>
  <c r="C88" i="2"/>
  <c r="B88" i="2"/>
  <c r="J78" i="3" l="1"/>
  <c r="J88" i="2"/>
  <c r="J79" i="6"/>
  <c r="J50" i="7"/>
  <c r="J17" i="7"/>
  <c r="J58" i="4"/>
  <c r="I14" i="4"/>
  <c r="J14" i="4" s="1"/>
  <c r="J18" i="4"/>
  <c r="B59" i="7"/>
  <c r="E59" i="7"/>
  <c r="I59" i="7"/>
  <c r="E98" i="2"/>
  <c r="D98" i="2"/>
  <c r="H98" i="2"/>
  <c r="I98" i="2"/>
  <c r="D59" i="7"/>
  <c r="C59" i="7"/>
  <c r="D90" i="6"/>
  <c r="H90" i="6"/>
  <c r="D88" i="3"/>
  <c r="H88" i="3"/>
  <c r="D68" i="4"/>
  <c r="H68" i="4"/>
  <c r="F90" i="6"/>
  <c r="I90" i="6"/>
  <c r="E88" i="3"/>
  <c r="I88" i="3"/>
  <c r="E68" i="4"/>
  <c r="I68" i="4"/>
  <c r="C90" i="6"/>
  <c r="C68" i="4"/>
  <c r="C88" i="3"/>
  <c r="C98" i="2"/>
  <c r="B90" i="6"/>
  <c r="B68" i="4"/>
  <c r="B88" i="3"/>
  <c r="B98" i="2"/>
  <c r="D68" i="3" l="1"/>
  <c r="E68" i="3" l="1"/>
  <c r="H68" i="3" l="1"/>
  <c r="I68" i="3" l="1"/>
  <c r="Q76" i="6" l="1"/>
  <c r="K87" i="6" l="1"/>
  <c r="O87" i="6"/>
  <c r="K90" i="6" l="1"/>
  <c r="Q79" i="6"/>
  <c r="O90" i="6"/>
  <c r="P110" i="6" l="1"/>
  <c r="P107" i="6"/>
  <c r="P103" i="6"/>
  <c r="P109" i="6"/>
  <c r="P104" i="6"/>
  <c r="K120" i="6"/>
  <c r="L90" i="6"/>
  <c r="L87" i="6"/>
  <c r="P101" i="6" l="1"/>
  <c r="O120" i="6"/>
  <c r="P120" i="6" s="1"/>
  <c r="N90" i="6"/>
  <c r="N87" i="6"/>
  <c r="M90" i="6"/>
  <c r="M87" i="6"/>
  <c r="L120" i="6" l="1"/>
  <c r="M120" i="6" l="1"/>
  <c r="N120" i="6"/>
  <c r="Q78" i="3"/>
</calcChain>
</file>

<file path=xl/sharedStrings.xml><?xml version="1.0" encoding="utf-8"?>
<sst xmlns="http://schemas.openxmlformats.org/spreadsheetml/2006/main" count="1013" uniqueCount="205">
  <si>
    <t>Average annual increase: 2009-2013</t>
  </si>
  <si>
    <t>First-time entering undergraduates</t>
  </si>
  <si>
    <t>Total undergraduate</t>
  </si>
  <si>
    <t>Planned/expected enrolment</t>
  </si>
  <si>
    <t>Undergraduate diplomas &amp; certificates</t>
  </si>
  <si>
    <t>Undergraduate degrees</t>
  </si>
  <si>
    <t xml:space="preserve">Planned/expected </t>
  </si>
  <si>
    <t>GRADUATES AS % OF HEAD COUNT ENROLMENTS</t>
  </si>
  <si>
    <t>Planned/expected</t>
  </si>
  <si>
    <t>SECTION F:  MINISTERIAL TARGETS: ENGINEERING</t>
  </si>
  <si>
    <t>Note: 2008 and 2009 old cesm 08, 2010 to 2013 new cesm 08</t>
  </si>
  <si>
    <t xml:space="preserve">FTE ENROLLED TOTALS </t>
  </si>
  <si>
    <t xml:space="preserve">FTE DEGREE CREDIT TOTALS </t>
  </si>
  <si>
    <t>TOTAL SUCCESS RATES</t>
  </si>
  <si>
    <t xml:space="preserve"> TOTAL UG GRADUATES BY QUALIFICATION TYPE</t>
  </si>
  <si>
    <t>Planned/expected graduates</t>
  </si>
  <si>
    <t>TOTAL UG HEAD COUNT ENROLMENTS</t>
  </si>
  <si>
    <t>TABLE  45a</t>
  </si>
  <si>
    <t>TABLE  45b</t>
  </si>
  <si>
    <t>TABLE  45c</t>
  </si>
  <si>
    <t>TABLE  45d</t>
  </si>
  <si>
    <t>TABLE  45e</t>
  </si>
  <si>
    <t>TABLE  45f</t>
  </si>
  <si>
    <t>Note: 2008 and 2009 old cesm 15, 2010 to 2013 new cesm 13 and 14</t>
  </si>
  <si>
    <t>TABLE  46a</t>
  </si>
  <si>
    <t>TABLE  46b</t>
  </si>
  <si>
    <t>TABLE  46c</t>
  </si>
  <si>
    <t>TABLE  46d</t>
  </si>
  <si>
    <t>TABLE  46e</t>
  </si>
  <si>
    <t>TABLE  46f</t>
  </si>
  <si>
    <t>TABLE  47a</t>
  </si>
  <si>
    <t>TABLE  47c</t>
  </si>
  <si>
    <t>TABLE  47d</t>
  </si>
  <si>
    <t>TABLE  47e</t>
  </si>
  <si>
    <t>TABLE  47f</t>
  </si>
  <si>
    <t>Note: 2008 and 2009 old cesm 0104, 2010 to 2013 new cesm 0106</t>
  </si>
  <si>
    <t>Note: 2008 and 2009 old cesm 0908, 2010 to 2013 new cesm 0915 and 0916</t>
  </si>
  <si>
    <t>TABLE  48a</t>
  </si>
  <si>
    <t>TABLE  48c</t>
  </si>
  <si>
    <t>TABLE  48d</t>
  </si>
  <si>
    <t>TABLE  48e</t>
  </si>
  <si>
    <t>Note: 2008 and 2009 old cesm 09 excluding 0908, 2010 to 2013 new cesm 09 excluding cesm 0915 and 0916</t>
  </si>
  <si>
    <t>TABLE  49a</t>
  </si>
  <si>
    <t>TABLE  49c</t>
  </si>
  <si>
    <t>TABLE  49d</t>
  </si>
  <si>
    <t>TABLE  49e</t>
  </si>
  <si>
    <t>TABLE  49f</t>
  </si>
  <si>
    <t>TABLE  50a</t>
  </si>
  <si>
    <t>B. Ed</t>
  </si>
  <si>
    <t>PGCE</t>
  </si>
  <si>
    <t>B Ed</t>
  </si>
  <si>
    <t>Note: 2008 and 2009 old cesm 07, 2010 to 2013 new cesm 07</t>
  </si>
  <si>
    <t>SECTION F:  MINISTERIAL TARGETS: LIFE AND PHYSICAL SCIENCES</t>
  </si>
  <si>
    <t>SECTION F:  MINISTERIAL TARGETS: ANIMAL SCIENCE</t>
  </si>
  <si>
    <t>SECTION F:  MINISTERIAL TARGETS: VET SCIENCE</t>
  </si>
  <si>
    <t>SECTION F:  MINISTERIAL TARGETS: HUMAN HEALTH</t>
  </si>
  <si>
    <t>SECTION F:  MINISTERIAL TARGETS: TEACHER EDUCATION</t>
  </si>
  <si>
    <t>TABLE  50b</t>
  </si>
  <si>
    <t>TABLE  50c</t>
  </si>
  <si>
    <t>TABLE  50d</t>
  </si>
  <si>
    <t>TABLE  50e</t>
  </si>
  <si>
    <t>TABLE  50f</t>
  </si>
  <si>
    <t>First-time entering undergraduates B Ed</t>
  </si>
  <si>
    <t>Total Initial Teacher ED</t>
  </si>
  <si>
    <t>Total graduates</t>
  </si>
  <si>
    <t>Proposed target 2014</t>
  </si>
  <si>
    <t>Proposed target 2015</t>
  </si>
  <si>
    <t>Proposed target 2016</t>
  </si>
  <si>
    <t>Proposed target 2017</t>
  </si>
  <si>
    <t>Proposed target 2018</t>
  </si>
  <si>
    <t>Proposed target 2019</t>
  </si>
  <si>
    <t>Average annual increase: 2014-2019</t>
  </si>
  <si>
    <t>STUDENT ENROLMENT PLANNING: 2008 - 2019</t>
  </si>
  <si>
    <t>Projected 2010 to 2013</t>
  </si>
  <si>
    <t>Projected 2010 to 2013 graduates</t>
  </si>
  <si>
    <t>Actual</t>
  </si>
  <si>
    <t>Projected target 2012</t>
  </si>
  <si>
    <t>Projected target 2013</t>
  </si>
  <si>
    <t>080200 : AGRICULTURAL/BIOLOGICAL ENGINEERING AND BIO-ENGINEERING</t>
  </si>
  <si>
    <t>080300 : ARCHITECTURAL ENGINEERING</t>
  </si>
  <si>
    <t>080400 : BIOMEDICAL/MEDICAL ENGINEERING</t>
  </si>
  <si>
    <t>080500 : CERAMIC SCIENCES AND ENGINEERING</t>
  </si>
  <si>
    <t>080600 : CHEMICAL ENGINEERING</t>
  </si>
  <si>
    <t>080700 : CIVIL ENGINEERING</t>
  </si>
  <si>
    <t>080800 : COMPUTER ENGINEERING</t>
  </si>
  <si>
    <t>080900 : ELECTRICAL, ELECTRONICS AND COMMUNICATIONS ENGINEERING</t>
  </si>
  <si>
    <t>081000 : ENGINEERING MECHANICS</t>
  </si>
  <si>
    <t>081100 : ENGINEERING PHYSICS</t>
  </si>
  <si>
    <t>081200 : ENGINEERING SCIENCE</t>
  </si>
  <si>
    <t>081300 : ENVIRONMENTAL/ENVIRONMENTAL HEALTH ENGINEERING</t>
  </si>
  <si>
    <t>081400 : MATERIALS ENGINEERING</t>
  </si>
  <si>
    <t>081500 : MECHANICAL AND MECHATRONIC ENGINEERING</t>
  </si>
  <si>
    <t>081600 : METALLURGICAL ENGINEERING</t>
  </si>
  <si>
    <t>081700 : MINING AND MINERAL ENGINEERING</t>
  </si>
  <si>
    <t>081800 : NAVAL ARCHITECTURE AND MARINE ENGINEERING</t>
  </si>
  <si>
    <t>081900 : NUCLEAR ENGINEERING</t>
  </si>
  <si>
    <t>082000 : OCEAN ENGINEERING</t>
  </si>
  <si>
    <t>082100 : PETROLEUM ENGINEERING</t>
  </si>
  <si>
    <t>082200 : SYSTEMS ENGINEERING</t>
  </si>
  <si>
    <t>082300 : TEXTILE SCIENCES AND ENGINEERING</t>
  </si>
  <si>
    <t>082400 : MATERIALS SCIENCE</t>
  </si>
  <si>
    <t>082500 : POLYMER/PLASTICS ENGINEERING</t>
  </si>
  <si>
    <t>082600 : CONSTRUCTION ENGINEERING</t>
  </si>
  <si>
    <t>082700 : FOREST ENGINEERING</t>
  </si>
  <si>
    <t>082800 : INDUSTRIAL ENGINEERING</t>
  </si>
  <si>
    <t>082900 : MANUFACTURING ENGINEERING</t>
  </si>
  <si>
    <t>083000 : OPERATIONS RESEARCH</t>
  </si>
  <si>
    <t>083100 : SURVEYING ENGINEERING</t>
  </si>
  <si>
    <t>083200 : GEOLOGICAL/GEOPHYSICAL ENGINEERING</t>
  </si>
  <si>
    <t>089999 : ENGINEERING, OTHER</t>
  </si>
  <si>
    <t>TABLE  45g</t>
  </si>
  <si>
    <t>130100 : BIOLOGY, GENERAL</t>
  </si>
  <si>
    <t>130200 : BIOCHEMISTRY, BIOPHYSICS AND MOLECULAR BIOCHEMISTRY</t>
  </si>
  <si>
    <t>130300 : BOTANY/PLANT BIOLOGY</t>
  </si>
  <si>
    <t>130400 : CELL/CELLULAR BIOLOGY AND ANATOMICAL SCIENCES</t>
  </si>
  <si>
    <t>130500 : MICROBIOLOGICAL SCIENCES AND IMMUNOLOGY</t>
  </si>
  <si>
    <t>130600 : ZOOLOGY/ANIMAL BIOLOGY</t>
  </si>
  <si>
    <t>130700 : GENETICS</t>
  </si>
  <si>
    <t>130800 : PHYSIOLOGY, PATHOLOGY AND RELATED SCIENCES</t>
  </si>
  <si>
    <t>130900 : PHARMACOLOGY AND TOXICOLOGY</t>
  </si>
  <si>
    <t>131000 : BIOMATHEMATICS AND BIOINFORMATICS</t>
  </si>
  <si>
    <t>131100 : BIOTECHNOLOGY</t>
  </si>
  <si>
    <t>131200 : ECOLOGY, EVOLUTION, SYSTEMATICS AND POPULATION BIOLOGY</t>
  </si>
  <si>
    <t>139999 : LIFE SCIENCES, OTHER</t>
  </si>
  <si>
    <t>TOTAL LIFE SCIENCE UG HEAD COUNT ENROLMENTS</t>
  </si>
  <si>
    <t>140100 : PHYSICAL SCIENCES, GENERAL</t>
  </si>
  <si>
    <t>140200 : ASTRONOMY AND ASTROPHYSICS</t>
  </si>
  <si>
    <t>140300 : ATMOSPHERIC SCIENCES AND METEOROLOGY</t>
  </si>
  <si>
    <t>140400 : CHEMISTRY</t>
  </si>
  <si>
    <t>140500 : GEOGRAPHY AND CARTOGRAPHY</t>
  </si>
  <si>
    <t>140600 : GEOLOGY AND EARTH SCIENCES/GEOSCIENCES</t>
  </si>
  <si>
    <t>140700 : PHYSICS</t>
  </si>
  <si>
    <t>149999 : PHYSICAL SCIENCES, OTHER</t>
  </si>
  <si>
    <t>TOTAL PHYSICAL SCIENCE UG HEAD COUNT ENROLMENTS</t>
  </si>
  <si>
    <t>Proposed target  2014</t>
  </si>
  <si>
    <t>Proposed target  2015</t>
  </si>
  <si>
    <t>Proposed target  2016</t>
  </si>
  <si>
    <t>Proposed target  2017</t>
  </si>
  <si>
    <t>Proposed target  2018</t>
  </si>
  <si>
    <t>Proposed target  2019</t>
  </si>
  <si>
    <t>TABLE  46g</t>
  </si>
  <si>
    <t>010600 : ANIMAL SCIENCES</t>
  </si>
  <si>
    <t>091500 : VETERINARY MEDICINE</t>
  </si>
  <si>
    <t>091600 : VETERINARY BIOMEDICAL AND CLINICAL SCIENCES</t>
  </si>
  <si>
    <t>TOTAL ANIMAL SCIENCE UG HEAD COUNT ENROLMENTS</t>
  </si>
  <si>
    <t>Proposed  target  2014</t>
  </si>
  <si>
    <t>090100 : CHIROPRACTIC</t>
  </si>
  <si>
    <t>090200 : COMMUNICATIONS DISORDERS SCIENCES AND SERVICES</t>
  </si>
  <si>
    <t>090300 : DENTISTRY, ADVANCED DENTISTRY AND ORAL SCIENCES</t>
  </si>
  <si>
    <t>090400 : DENTAL SUPPORT SERVICES AND ALLIED PROFESSIONS</t>
  </si>
  <si>
    <t>090500 : HEALTH AND MEDICAL ADMINISTRATIVE SERVICES</t>
  </si>
  <si>
    <t>090600 : MEDICINE</t>
  </si>
  <si>
    <t>090700 : MEDICAL CLINICAL SCIENCES</t>
  </si>
  <si>
    <t>090800 : NURSING</t>
  </si>
  <si>
    <t>090900 : OPTOMETRY</t>
  </si>
  <si>
    <t>091000 : OSTEOPATHIC MEDICINE/OSTEOPATHY</t>
  </si>
  <si>
    <t>091100 : PHARMACY, PHARMACEUTICAL SCIENCES AND ADMINISTRATION</t>
  </si>
  <si>
    <t>091200 : PODIATRIC MEDICINE/PODIATRY</t>
  </si>
  <si>
    <t>091300 : PUBLIC HEALTH</t>
  </si>
  <si>
    <t>091400 : REHABILITATION AND THERAPEUTIC PROFESSIONS</t>
  </si>
  <si>
    <t>091700 : MEDICAL ILLUSTRATION AND INFORMATICS</t>
  </si>
  <si>
    <t>091800 : DIETETICS AND CLINICAL NUTRITION SERVICES</t>
  </si>
  <si>
    <t>091900 : BIOETHICS/MEDICAL ETHICS</t>
  </si>
  <si>
    <t>092000 : ALTERNATIVE AND COMPLEMENTARY MEDICINE AND MEDICAL SYSTEMS</t>
  </si>
  <si>
    <t>092100 : SOMATIC BODYWORK AND RELATED THERAPEUTIC SERVICES</t>
  </si>
  <si>
    <t>092200 : MOVEMENT AND MIND-BODY THERAPIES AND EDUCATION</t>
  </si>
  <si>
    <t>092300 : ENERGY AND BIOLOGICALLY BASED THERAPIES</t>
  </si>
  <si>
    <t>092400 : MEDICAL RADIOLOGIC TECHNOLOGY/SCIENCE (RADIOGRAPHY)</t>
  </si>
  <si>
    <t>099999 : HEALTH PROFESSIONS AND RELATED CLINICAL SCIENCES, OTHER</t>
  </si>
  <si>
    <t>TOTAL VET SCIENCE UG HEAD COUNT ENROLMENTS</t>
  </si>
  <si>
    <t>TOTAL HUMAN HEALTH UG HEAD COUNT ENROLMENTS</t>
  </si>
  <si>
    <t>Projected 2011 to 2013 enrolments</t>
  </si>
  <si>
    <t xml:space="preserve">Projected target 2011 </t>
  </si>
  <si>
    <t>TABLE  49g</t>
  </si>
  <si>
    <t>TABLE  49b</t>
  </si>
  <si>
    <t>TABLE  47g</t>
  </si>
  <si>
    <t>TABLE  48g</t>
  </si>
  <si>
    <t>INSTITUTION: NELSON MANDELA METROPOLITAN UNIVERSITY</t>
  </si>
  <si>
    <t>Actual/Provisional</t>
  </si>
  <si>
    <t>Provisional 2012</t>
  </si>
  <si>
    <t>Average annual increase: 2010-2012</t>
  </si>
  <si>
    <t>Average annual increase: 2011-2013</t>
  </si>
  <si>
    <t>TABLE  45h</t>
  </si>
  <si>
    <t>Projected 2011 to 2013 graduates</t>
  </si>
  <si>
    <t>TOTAL UG GRADUATES</t>
  </si>
  <si>
    <t>TABLE  46h</t>
  </si>
  <si>
    <t>TOTAL UG HEAD COUNT GRADUATES</t>
  </si>
  <si>
    <t>TABLE  49h</t>
  </si>
  <si>
    <t xml:space="preserve">Projected 2011 to 2013 graduates </t>
  </si>
  <si>
    <t>TOTAL PHYSICAL SCIENCE UG GRADUATES</t>
  </si>
  <si>
    <t>TOTAL LIFE SCIENCE UG GRADUATES</t>
  </si>
  <si>
    <t>TOTAL ANIMAL SCIENCE UG GRADUATES</t>
  </si>
  <si>
    <t>TOTAL VET SCIENCE UG GRADUATES</t>
  </si>
  <si>
    <t>TOTAL HUMAN HEALTH UG GRADUATES</t>
  </si>
  <si>
    <t>Total FTEs enrolled B Ed</t>
  </si>
  <si>
    <t>Total FTEs enrolled PGCE</t>
  </si>
  <si>
    <t>Total deg cred FTEs B Ed</t>
  </si>
  <si>
    <t>Total deg cred FTEs PGCE</t>
  </si>
  <si>
    <t>Total Success rate B Ed</t>
  </si>
  <si>
    <t>Total Success rate PGCE</t>
  </si>
  <si>
    <t>TABLE  47h</t>
  </si>
  <si>
    <t>TABLE  47b</t>
  </si>
  <si>
    <t>Projected 2011 to 2013</t>
  </si>
  <si>
    <t>Advanced diploma</t>
  </si>
  <si>
    <t>Advanced diplomas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</si>
</sst>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00"/>
    <numFmt numFmtId="166" formatCode="0.0000"/>
    <numFmt numFmtId="167" formatCode="#,##0.000"/>
  </numFmts>
  <fonts count="28" x14ac:knownFonts="1">
    <font>
      <sz val="10"/>
      <name val="Arial"/>
      <family val="2"/>
    </font>
    <font>
      <b/>
      <u/>
      <sz val="20"/>
      <name val="Arial"/>
      <family val="2"/>
    </font>
    <font>
      <sz val="11"/>
      <name val="Arial"/>
      <family val="2"/>
    </font>
    <font>
      <b/>
      <u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4"/>
      <name val="Arial"/>
      <family val="2"/>
    </font>
    <font>
      <b/>
      <u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/>
      <sz val="16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Calibri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6" fillId="0" borderId="0"/>
  </cellStyleXfs>
  <cellXfs count="665">
    <xf numFmtId="0" fontId="0" fillId="0" borderId="0" xfId="0"/>
    <xf numFmtId="1" fontId="0" fillId="0" borderId="0" xfId="0" applyNumberFormat="1"/>
    <xf numFmtId="1" fontId="1" fillId="0" borderId="0" xfId="0" applyNumberFormat="1" applyFont="1" applyBorder="1" applyAlignment="1">
      <alignment horizontal="center"/>
    </xf>
    <xf numFmtId="1" fontId="2" fillId="0" borderId="0" xfId="0" applyNumberFormat="1" applyFont="1" applyBorder="1"/>
    <xf numFmtId="1" fontId="7" fillId="0" borderId="0" xfId="0" applyNumberFormat="1" applyFont="1" applyBorder="1"/>
    <xf numFmtId="1" fontId="7" fillId="0" borderId="0" xfId="0" applyNumberFormat="1" applyFont="1"/>
    <xf numFmtId="1" fontId="8" fillId="0" borderId="0" xfId="0" applyNumberFormat="1" applyFont="1" applyBorder="1" applyAlignment="1">
      <alignment horizontal="left"/>
    </xf>
    <xf numFmtId="1" fontId="11" fillId="0" borderId="7" xfId="0" applyNumberFormat="1" applyFont="1" applyBorder="1" applyAlignment="1">
      <alignment horizontal="center" wrapText="1"/>
    </xf>
    <xf numFmtId="1" fontId="11" fillId="0" borderId="8" xfId="0" applyNumberFormat="1" applyFont="1" applyBorder="1" applyAlignment="1">
      <alignment horizontal="center" wrapText="1"/>
    </xf>
    <xf numFmtId="1" fontId="10" fillId="0" borderId="10" xfId="0" applyNumberFormat="1" applyFont="1" applyBorder="1" applyAlignment="1">
      <alignment horizontal="center" wrapText="1"/>
    </xf>
    <xf numFmtId="1" fontId="11" fillId="0" borderId="12" xfId="0" applyNumberFormat="1" applyFont="1" applyBorder="1" applyAlignment="1">
      <alignment horizontal="center" wrapText="1"/>
    </xf>
    <xf numFmtId="164" fontId="10" fillId="0" borderId="10" xfId="0" applyNumberFormat="1" applyFont="1" applyBorder="1"/>
    <xf numFmtId="164" fontId="12" fillId="0" borderId="19" xfId="0" applyNumberFormat="1" applyFont="1" applyBorder="1"/>
    <xf numFmtId="164" fontId="12" fillId="0" borderId="5" xfId="0" applyNumberFormat="1" applyFont="1" applyBorder="1"/>
    <xf numFmtId="1" fontId="10" fillId="0" borderId="7" xfId="0" applyNumberFormat="1" applyFont="1" applyBorder="1" applyAlignment="1">
      <alignment horizontal="right"/>
    </xf>
    <xf numFmtId="1" fontId="10" fillId="0" borderId="2" xfId="0" applyNumberFormat="1" applyFont="1" applyBorder="1" applyAlignment="1">
      <alignment horizontal="right"/>
    </xf>
    <xf numFmtId="1" fontId="10" fillId="0" borderId="9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1" fontId="11" fillId="0" borderId="3" xfId="0" applyNumberFormat="1" applyFont="1" applyBorder="1" applyAlignment="1">
      <alignment horizontal="center" wrapText="1"/>
    </xf>
    <xf numFmtId="1" fontId="12" fillId="0" borderId="19" xfId="0" applyNumberFormat="1" applyFont="1" applyBorder="1" applyAlignment="1">
      <alignment horizontal="left"/>
    </xf>
    <xf numFmtId="1" fontId="12" fillId="0" borderId="23" xfId="0" applyNumberFormat="1" applyFont="1" applyBorder="1" applyAlignment="1" applyProtection="1">
      <alignment horizontal="right"/>
      <protection locked="0"/>
    </xf>
    <xf numFmtId="1" fontId="12" fillId="0" borderId="5" xfId="0" applyNumberFormat="1" applyFont="1" applyBorder="1" applyAlignment="1">
      <alignment horizontal="left"/>
    </xf>
    <xf numFmtId="1" fontId="12" fillId="0" borderId="27" xfId="0" applyNumberFormat="1" applyFont="1" applyBorder="1" applyProtection="1">
      <protection locked="0"/>
    </xf>
    <xf numFmtId="1" fontId="10" fillId="0" borderId="1" xfId="0" applyNumberFormat="1" applyFont="1" applyBorder="1" applyAlignment="1">
      <alignment horizontal="left"/>
    </xf>
    <xf numFmtId="1" fontId="10" fillId="0" borderId="1" xfId="0" applyNumberFormat="1" applyFont="1" applyBorder="1" applyAlignment="1">
      <alignment horizontal="right"/>
    </xf>
    <xf numFmtId="1" fontId="10" fillId="0" borderId="12" xfId="0" applyNumberFormat="1" applyFont="1" applyBorder="1" applyAlignment="1">
      <alignment horizontal="right"/>
    </xf>
    <xf numFmtId="1" fontId="10" fillId="0" borderId="11" xfId="0" applyNumberFormat="1" applyFont="1" applyBorder="1" applyAlignment="1">
      <alignment horizontal="right"/>
    </xf>
    <xf numFmtId="1" fontId="12" fillId="0" borderId="16" xfId="0" applyNumberFormat="1" applyFont="1" applyBorder="1" applyAlignment="1" applyProtection="1">
      <alignment horizontal="right"/>
      <protection locked="0"/>
    </xf>
    <xf numFmtId="1" fontId="12" fillId="0" borderId="0" xfId="0" applyNumberFormat="1" applyFont="1" applyBorder="1" applyProtection="1">
      <protection locked="0"/>
    </xf>
    <xf numFmtId="9" fontId="10" fillId="0" borderId="1" xfId="0" applyNumberFormat="1" applyFont="1" applyBorder="1" applyAlignment="1">
      <alignment horizontal="right"/>
    </xf>
    <xf numFmtId="9" fontId="10" fillId="0" borderId="2" xfId="0" applyNumberFormat="1" applyFont="1" applyBorder="1" applyAlignment="1">
      <alignment horizontal="right"/>
    </xf>
    <xf numFmtId="9" fontId="10" fillId="0" borderId="8" xfId="0" applyNumberFormat="1" applyFont="1" applyBorder="1" applyAlignment="1">
      <alignment horizontal="right"/>
    </xf>
    <xf numFmtId="9" fontId="10" fillId="0" borderId="9" xfId="0" applyNumberFormat="1" applyFont="1" applyBorder="1" applyAlignment="1">
      <alignment horizontal="right"/>
    </xf>
    <xf numFmtId="9" fontId="10" fillId="0" borderId="11" xfId="0" applyNumberFormat="1" applyFont="1" applyBorder="1" applyAlignment="1">
      <alignment horizontal="right"/>
    </xf>
    <xf numFmtId="9" fontId="10" fillId="0" borderId="12" xfId="0" applyNumberFormat="1" applyFont="1" applyBorder="1" applyAlignment="1">
      <alignment horizontal="right"/>
    </xf>
    <xf numFmtId="9" fontId="10" fillId="0" borderId="3" xfId="0" applyNumberFormat="1" applyFont="1" applyBorder="1" applyAlignment="1">
      <alignment horizontal="right"/>
    </xf>
    <xf numFmtId="0" fontId="0" fillId="0" borderId="0" xfId="0" applyAlignment="1"/>
    <xf numFmtId="164" fontId="12" fillId="0" borderId="37" xfId="0" applyNumberFormat="1" applyFont="1" applyBorder="1"/>
    <xf numFmtId="1" fontId="10" fillId="0" borderId="1" xfId="0" applyNumberFormat="1" applyFont="1" applyBorder="1" applyAlignment="1">
      <alignment horizontal="center"/>
    </xf>
    <xf numFmtId="1" fontId="11" fillId="0" borderId="2" xfId="0" applyNumberFormat="1" applyFont="1" applyBorder="1" applyAlignment="1">
      <alignment horizontal="center" wrapText="1"/>
    </xf>
    <xf numFmtId="1" fontId="12" fillId="0" borderId="21" xfId="0" applyNumberFormat="1" applyFont="1" applyBorder="1" applyAlignment="1">
      <alignment horizontal="left"/>
    </xf>
    <xf numFmtId="164" fontId="10" fillId="0" borderId="19" xfId="0" applyNumberFormat="1" applyFont="1" applyBorder="1" applyAlignment="1">
      <alignment horizontal="right"/>
    </xf>
    <xf numFmtId="1" fontId="7" fillId="0" borderId="0" xfId="0" applyNumberFormat="1" applyFont="1" applyBorder="1" applyAlignment="1"/>
    <xf numFmtId="0" fontId="0" fillId="0" borderId="0" xfId="0" applyBorder="1" applyAlignment="1"/>
    <xf numFmtId="0" fontId="0" fillId="0" borderId="0" xfId="0" applyAlignment="1" applyProtection="1">
      <alignment horizontal="left"/>
      <protection locked="0"/>
    </xf>
    <xf numFmtId="1" fontId="4" fillId="0" borderId="1" xfId="0" applyNumberFormat="1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5" fillId="0" borderId="2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1" fontId="10" fillId="0" borderId="10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0" fillId="0" borderId="0" xfId="0" applyBorder="1"/>
    <xf numFmtId="1" fontId="12" fillId="0" borderId="6" xfId="0" applyNumberFormat="1" applyFont="1" applyBorder="1" applyAlignment="1">
      <alignment horizontal="left"/>
    </xf>
    <xf numFmtId="1" fontId="10" fillId="0" borderId="0" xfId="0" applyNumberFormat="1" applyFont="1" applyBorder="1" applyAlignment="1">
      <alignment horizontal="center" wrapText="1"/>
    </xf>
    <xf numFmtId="9" fontId="12" fillId="0" borderId="21" xfId="0" applyNumberFormat="1" applyFont="1" applyBorder="1" applyAlignment="1" applyProtection="1">
      <alignment horizontal="right" wrapText="1"/>
      <protection locked="0"/>
    </xf>
    <xf numFmtId="9" fontId="12" fillId="0" borderId="25" xfId="0" applyNumberFormat="1" applyFont="1" applyBorder="1" applyAlignment="1" applyProtection="1">
      <alignment horizontal="right" wrapText="1"/>
      <protection locked="0"/>
    </xf>
    <xf numFmtId="9" fontId="12" fillId="0" borderId="24" xfId="0" applyNumberFormat="1" applyFont="1" applyBorder="1" applyAlignment="1" applyProtection="1">
      <alignment horizontal="right" wrapText="1"/>
      <protection locked="0"/>
    </xf>
    <xf numFmtId="9" fontId="12" fillId="0" borderId="15" xfId="0" applyNumberFormat="1" applyFont="1" applyBorder="1" applyAlignment="1" applyProtection="1">
      <alignment horizontal="right"/>
      <protection locked="0"/>
    </xf>
    <xf numFmtId="9" fontId="12" fillId="0" borderId="18" xfId="0" applyNumberFormat="1" applyFont="1" applyBorder="1" applyAlignment="1" applyProtection="1">
      <alignment horizontal="right"/>
      <protection locked="0"/>
    </xf>
    <xf numFmtId="9" fontId="12" fillId="0" borderId="17" xfId="0" applyNumberFormat="1" applyFont="1" applyBorder="1" applyAlignment="1" applyProtection="1">
      <alignment horizontal="right"/>
      <protection locked="0"/>
    </xf>
    <xf numFmtId="0" fontId="9" fillId="0" borderId="0" xfId="0" applyFont="1"/>
    <xf numFmtId="1" fontId="11" fillId="0" borderId="13" xfId="0" applyNumberFormat="1" applyFont="1" applyBorder="1" applyAlignment="1">
      <alignment horizontal="right" wrapText="1"/>
    </xf>
    <xf numFmtId="1" fontId="11" fillId="0" borderId="14" xfId="0" applyNumberFormat="1" applyFont="1" applyBorder="1" applyAlignment="1">
      <alignment horizontal="right" wrapText="1"/>
    </xf>
    <xf numFmtId="0" fontId="9" fillId="0" borderId="0" xfId="0" applyFont="1" applyAlignment="1">
      <alignment horizontal="right"/>
    </xf>
    <xf numFmtId="1" fontId="15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/>
    <xf numFmtId="0" fontId="17" fillId="0" borderId="2" xfId="0" applyFont="1" applyBorder="1" applyAlignment="1" applyProtection="1">
      <alignment horizontal="left"/>
      <protection locked="0"/>
    </xf>
    <xf numFmtId="0" fontId="17" fillId="0" borderId="3" xfId="0" applyFont="1" applyBorder="1" applyAlignment="1" applyProtection="1">
      <alignment horizontal="left"/>
      <protection locked="0"/>
    </xf>
    <xf numFmtId="0" fontId="17" fillId="0" borderId="2" xfId="0" applyFont="1" applyBorder="1" applyAlignment="1">
      <alignment horizontal="left"/>
    </xf>
    <xf numFmtId="0" fontId="17" fillId="0" borderId="2" xfId="0" applyFont="1" applyBorder="1"/>
    <xf numFmtId="0" fontId="17" fillId="0" borderId="3" xfId="0" applyFont="1" applyBorder="1"/>
    <xf numFmtId="0" fontId="17" fillId="0" borderId="0" xfId="0" applyFont="1"/>
    <xf numFmtId="1" fontId="18" fillId="0" borderId="0" xfId="0" applyNumberFormat="1" applyFont="1" applyBorder="1" applyAlignment="1">
      <alignment horizontal="center"/>
    </xf>
    <xf numFmtId="1" fontId="17" fillId="0" borderId="0" xfId="0" applyNumberFormat="1" applyFont="1"/>
    <xf numFmtId="1" fontId="17" fillId="0" borderId="0" xfId="0" applyNumberFormat="1" applyFont="1" applyBorder="1"/>
    <xf numFmtId="1" fontId="8" fillId="0" borderId="0" xfId="0" applyNumberFormat="1" applyFont="1" applyBorder="1" applyAlignment="1">
      <alignment horizontal="center"/>
    </xf>
    <xf numFmtId="1" fontId="14" fillId="0" borderId="0" xfId="0" applyNumberFormat="1" applyFont="1"/>
    <xf numFmtId="1" fontId="14" fillId="0" borderId="0" xfId="0" applyNumberFormat="1" applyFont="1" applyBorder="1"/>
    <xf numFmtId="0" fontId="14" fillId="0" borderId="0" xfId="0" applyFont="1"/>
    <xf numFmtId="1" fontId="3" fillId="0" borderId="0" xfId="0" applyNumberFormat="1" applyFont="1" applyBorder="1" applyAlignment="1">
      <alignment horizontal="center"/>
    </xf>
    <xf numFmtId="0" fontId="7" fillId="0" borderId="0" xfId="0" applyFont="1"/>
    <xf numFmtId="1" fontId="10" fillId="0" borderId="3" xfId="0" applyNumberFormat="1" applyFont="1" applyBorder="1" applyAlignment="1">
      <alignment horizontal="right"/>
    </xf>
    <xf numFmtId="1" fontId="1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/>
    <xf numFmtId="1" fontId="6" fillId="0" borderId="0" xfId="0" applyNumberFormat="1" applyFont="1" applyBorder="1" applyAlignment="1">
      <alignment horizontal="center"/>
    </xf>
    <xf numFmtId="1" fontId="11" fillId="0" borderId="11" xfId="0" applyNumberFormat="1" applyFont="1" applyBorder="1" applyAlignment="1">
      <alignment horizontal="center" wrapText="1"/>
    </xf>
    <xf numFmtId="0" fontId="0" fillId="0" borderId="27" xfId="0" applyBorder="1"/>
    <xf numFmtId="0" fontId="0" fillId="0" borderId="16" xfId="0" applyBorder="1"/>
    <xf numFmtId="0" fontId="0" fillId="0" borderId="23" xfId="0" applyBorder="1"/>
    <xf numFmtId="0" fontId="0" fillId="0" borderId="26" xfId="0" applyBorder="1"/>
    <xf numFmtId="0" fontId="0" fillId="0" borderId="11" xfId="0" applyBorder="1"/>
    <xf numFmtId="0" fontId="0" fillId="0" borderId="12" xfId="0" applyBorder="1"/>
    <xf numFmtId="9" fontId="12" fillId="0" borderId="40" xfId="0" applyNumberFormat="1" applyFont="1" applyBorder="1" applyAlignment="1" applyProtection="1">
      <alignment horizontal="right" wrapText="1"/>
      <protection locked="0"/>
    </xf>
    <xf numFmtId="9" fontId="12" fillId="0" borderId="36" xfId="0" applyNumberFormat="1" applyFont="1" applyBorder="1" applyAlignment="1" applyProtection="1">
      <alignment horizontal="right"/>
      <protection locked="0"/>
    </xf>
    <xf numFmtId="9" fontId="12" fillId="0" borderId="26" xfId="0" applyNumberFormat="1" applyFont="1" applyBorder="1" applyAlignment="1" applyProtection="1">
      <alignment horizontal="right" wrapText="1"/>
      <protection locked="0"/>
    </xf>
    <xf numFmtId="9" fontId="12" fillId="0" borderId="28" xfId="0" applyNumberFormat="1" applyFont="1" applyBorder="1" applyAlignment="1" applyProtection="1">
      <alignment horizontal="right"/>
      <protection locked="0"/>
    </xf>
    <xf numFmtId="9" fontId="12" fillId="0" borderId="16" xfId="0" applyNumberFormat="1" applyFont="1" applyBorder="1" applyAlignment="1" applyProtection="1">
      <alignment horizontal="right" wrapText="1"/>
      <protection locked="0"/>
    </xf>
    <xf numFmtId="9" fontId="12" fillId="0" borderId="27" xfId="0" applyNumberFormat="1" applyFont="1" applyBorder="1" applyAlignment="1" applyProtection="1">
      <alignment horizontal="right"/>
      <protection locked="0"/>
    </xf>
    <xf numFmtId="1" fontId="11" fillId="0" borderId="1" xfId="0" applyNumberFormat="1" applyFont="1" applyBorder="1" applyAlignment="1">
      <alignment horizontal="center" wrapText="1"/>
    </xf>
    <xf numFmtId="0" fontId="0" fillId="0" borderId="0" xfId="0" applyBorder="1" applyAlignment="1"/>
    <xf numFmtId="1" fontId="6" fillId="0" borderId="10" xfId="0" applyNumberFormat="1" applyFont="1" applyBorder="1" applyAlignment="1">
      <alignment horizontal="center"/>
    </xf>
    <xf numFmtId="46" fontId="19" fillId="0" borderId="44" xfId="0" applyNumberFormat="1" applyFont="1" applyBorder="1" applyAlignment="1">
      <alignment horizontal="left" wrapText="1"/>
    </xf>
    <xf numFmtId="164" fontId="10" fillId="0" borderId="0" xfId="0" applyNumberFormat="1" applyFont="1" applyBorder="1"/>
    <xf numFmtId="46" fontId="19" fillId="0" borderId="46" xfId="0" applyNumberFormat="1" applyFont="1" applyBorder="1" applyAlignment="1">
      <alignment horizontal="left" wrapText="1"/>
    </xf>
    <xf numFmtId="164" fontId="12" fillId="0" borderId="45" xfId="0" applyNumberFormat="1" applyFont="1" applyBorder="1"/>
    <xf numFmtId="164" fontId="12" fillId="0" borderId="44" xfId="0" applyNumberFormat="1" applyFont="1" applyBorder="1"/>
    <xf numFmtId="0" fontId="12" fillId="0" borderId="27" xfId="0" applyFont="1" applyBorder="1" applyAlignment="1"/>
    <xf numFmtId="0" fontId="12" fillId="0" borderId="0" xfId="0" applyFont="1" applyBorder="1" applyAlignment="1"/>
    <xf numFmtId="0" fontId="12" fillId="0" borderId="27" xfId="0" applyFont="1" applyBorder="1"/>
    <xf numFmtId="0" fontId="12" fillId="0" borderId="0" xfId="0" applyFont="1" applyBorder="1"/>
    <xf numFmtId="0" fontId="12" fillId="0" borderId="48" xfId="0" applyFont="1" applyBorder="1" applyAlignment="1"/>
    <xf numFmtId="0" fontId="12" fillId="0" borderId="48" xfId="0" applyFont="1" applyBorder="1"/>
    <xf numFmtId="0" fontId="12" fillId="0" borderId="38" xfId="0" applyFont="1" applyBorder="1"/>
    <xf numFmtId="0" fontId="10" fillId="0" borderId="12" xfId="0" applyFont="1" applyBorder="1" applyAlignment="1"/>
    <xf numFmtId="46" fontId="20" fillId="0" borderId="46" xfId="0" applyNumberFormat="1" applyFont="1" applyBorder="1" applyAlignment="1">
      <alignment horizontal="left" wrapText="1"/>
    </xf>
    <xf numFmtId="46" fontId="20" fillId="0" borderId="44" xfId="0" applyNumberFormat="1" applyFont="1" applyBorder="1" applyAlignment="1">
      <alignment horizontal="left" wrapText="1"/>
    </xf>
    <xf numFmtId="46" fontId="20" fillId="0" borderId="5" xfId="0" applyNumberFormat="1" applyFont="1" applyBorder="1" applyAlignment="1">
      <alignment horizontal="left" wrapText="1"/>
    </xf>
    <xf numFmtId="46" fontId="21" fillId="0" borderId="10" xfId="0" applyNumberFormat="1" applyFont="1" applyBorder="1" applyAlignment="1">
      <alignment horizontal="left" wrapText="1"/>
    </xf>
    <xf numFmtId="164" fontId="12" fillId="0" borderId="49" xfId="0" applyNumberFormat="1" applyFont="1" applyBorder="1"/>
    <xf numFmtId="46" fontId="20" fillId="0" borderId="50" xfId="0" applyNumberFormat="1" applyFont="1" applyBorder="1" applyAlignment="1">
      <alignment horizontal="left" wrapText="1"/>
    </xf>
    <xf numFmtId="46" fontId="21" fillId="0" borderId="1" xfId="0" applyNumberFormat="1" applyFont="1" applyBorder="1" applyAlignment="1">
      <alignment horizontal="left" wrapText="1"/>
    </xf>
    <xf numFmtId="0" fontId="0" fillId="0" borderId="28" xfId="0" applyBorder="1"/>
    <xf numFmtId="46" fontId="20" fillId="0" borderId="51" xfId="0" applyNumberFormat="1" applyFont="1" applyBorder="1" applyAlignment="1">
      <alignment horizontal="left" wrapText="1"/>
    </xf>
    <xf numFmtId="164" fontId="12" fillId="0" borderId="46" xfId="0" applyNumberFormat="1" applyFont="1" applyBorder="1"/>
    <xf numFmtId="46" fontId="20" fillId="0" borderId="34" xfId="0" applyNumberFormat="1" applyFont="1" applyBorder="1" applyAlignment="1">
      <alignment wrapText="1"/>
    </xf>
    <xf numFmtId="46" fontId="19" fillId="0" borderId="49" xfId="0" applyNumberFormat="1" applyFont="1" applyBorder="1" applyAlignment="1">
      <alignment horizontal="left" wrapText="1"/>
    </xf>
    <xf numFmtId="164" fontId="12" fillId="0" borderId="19" xfId="0" applyNumberFormat="1" applyFont="1" applyBorder="1" applyAlignment="1">
      <alignment horizontal="right"/>
    </xf>
    <xf numFmtId="164" fontId="12" fillId="0" borderId="5" xfId="0" applyNumberFormat="1" applyFont="1" applyBorder="1" applyAlignment="1">
      <alignment horizontal="right"/>
    </xf>
    <xf numFmtId="164" fontId="10" fillId="0" borderId="10" xfId="0" applyNumberFormat="1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46" fontId="20" fillId="0" borderId="19" xfId="0" applyNumberFormat="1" applyFont="1" applyBorder="1" applyAlignment="1">
      <alignment horizontal="left" wrapText="1"/>
    </xf>
    <xf numFmtId="0" fontId="0" fillId="0" borderId="7" xfId="0" applyBorder="1"/>
    <xf numFmtId="0" fontId="0" fillId="0" borderId="55" xfId="0" applyBorder="1"/>
    <xf numFmtId="0" fontId="0" fillId="0" borderId="22" xfId="0" applyBorder="1"/>
    <xf numFmtId="1" fontId="6" fillId="0" borderId="1" xfId="0" applyNumberFormat="1" applyFont="1" applyBorder="1" applyAlignment="1">
      <alignment horizontal="center"/>
    </xf>
    <xf numFmtId="1" fontId="6" fillId="0" borderId="2" xfId="0" applyNumberFormat="1" applyFont="1" applyBorder="1" applyAlignment="1"/>
    <xf numFmtId="1" fontId="6" fillId="0" borderId="3" xfId="0" applyNumberFormat="1" applyFont="1" applyBorder="1" applyAlignment="1"/>
    <xf numFmtId="1" fontId="12" fillId="0" borderId="16" xfId="0" applyNumberFormat="1" applyFont="1" applyBorder="1" applyAlignment="1" applyProtection="1">
      <alignment horizontal="right" wrapText="1"/>
      <protection locked="0"/>
    </xf>
    <xf numFmtId="1" fontId="12" fillId="0" borderId="56" xfId="0" applyNumberFormat="1" applyFont="1" applyBorder="1" applyAlignment="1" applyProtection="1">
      <alignment horizontal="right"/>
      <protection locked="0"/>
    </xf>
    <xf numFmtId="1" fontId="12" fillId="0" borderId="22" xfId="0" applyNumberFormat="1" applyFont="1" applyBorder="1" applyAlignment="1" applyProtection="1">
      <alignment horizontal="right" wrapText="1"/>
      <protection locked="0"/>
    </xf>
    <xf numFmtId="1" fontId="12" fillId="0" borderId="55" xfId="0" applyNumberFormat="1" applyFont="1" applyBorder="1" applyAlignment="1" applyProtection="1">
      <alignment horizontal="right"/>
      <protection locked="0"/>
    </xf>
    <xf numFmtId="1" fontId="12" fillId="0" borderId="21" xfId="0" applyNumberFormat="1" applyFont="1" applyBorder="1" applyAlignment="1" applyProtection="1">
      <alignment horizontal="right" wrapText="1"/>
      <protection locked="0"/>
    </xf>
    <xf numFmtId="1" fontId="12" fillId="0" borderId="15" xfId="0" applyNumberFormat="1" applyFont="1" applyBorder="1" applyAlignment="1" applyProtection="1">
      <alignment horizontal="right"/>
      <protection locked="0"/>
    </xf>
    <xf numFmtId="1" fontId="10" fillId="0" borderId="12" xfId="0" applyNumberFormat="1" applyFont="1" applyBorder="1" applyAlignment="1">
      <alignment horizontal="center" wrapText="1"/>
    </xf>
    <xf numFmtId="9" fontId="12" fillId="0" borderId="22" xfId="0" applyNumberFormat="1" applyFont="1" applyBorder="1" applyAlignment="1" applyProtection="1">
      <alignment horizontal="right" wrapText="1"/>
      <protection locked="0"/>
    </xf>
    <xf numFmtId="9" fontId="10" fillId="0" borderId="7" xfId="0" applyNumberFormat="1" applyFont="1" applyBorder="1" applyAlignment="1">
      <alignment horizontal="right"/>
    </xf>
    <xf numFmtId="9" fontId="12" fillId="0" borderId="23" xfId="0" applyNumberFormat="1" applyFont="1" applyBorder="1" applyAlignment="1" applyProtection="1">
      <alignment horizontal="right" wrapText="1"/>
      <protection locked="0"/>
    </xf>
    <xf numFmtId="9" fontId="12" fillId="0" borderId="0" xfId="0" applyNumberFormat="1" applyFont="1" applyBorder="1" applyAlignment="1" applyProtection="1">
      <alignment horizontal="right"/>
      <protection locked="0"/>
    </xf>
    <xf numFmtId="1" fontId="12" fillId="0" borderId="40" xfId="0" applyNumberFormat="1" applyFont="1" applyBorder="1" applyAlignment="1" applyProtection="1">
      <alignment horizontal="right"/>
      <protection locked="0"/>
    </xf>
    <xf numFmtId="1" fontId="12" fillId="0" borderId="36" xfId="0" applyNumberFormat="1" applyFont="1" applyBorder="1" applyProtection="1">
      <protection locked="0"/>
    </xf>
    <xf numFmtId="1" fontId="12" fillId="2" borderId="16" xfId="0" applyNumberFormat="1" applyFont="1" applyFill="1" applyBorder="1" applyAlignment="1" applyProtection="1">
      <alignment horizontal="right" wrapText="1"/>
      <protection locked="0"/>
    </xf>
    <xf numFmtId="1" fontId="12" fillId="2" borderId="27" xfId="0" applyNumberFormat="1" applyFont="1" applyFill="1" applyBorder="1" applyAlignment="1" applyProtection="1">
      <alignment horizontal="right"/>
      <protection locked="0"/>
    </xf>
    <xf numFmtId="1" fontId="10" fillId="2" borderId="12" xfId="0" applyNumberFormat="1" applyFont="1" applyFill="1" applyBorder="1" applyAlignment="1">
      <alignment horizontal="right"/>
    </xf>
    <xf numFmtId="1" fontId="10" fillId="0" borderId="13" xfId="0" applyNumberFormat="1" applyFont="1" applyFill="1" applyBorder="1" applyAlignment="1">
      <alignment horizontal="right" wrapText="1"/>
    </xf>
    <xf numFmtId="1" fontId="12" fillId="0" borderId="27" xfId="0" applyNumberFormat="1" applyFont="1" applyBorder="1" applyAlignment="1" applyProtection="1">
      <alignment horizontal="right"/>
      <protection locked="0"/>
    </xf>
    <xf numFmtId="1" fontId="11" fillId="0" borderId="57" xfId="0" applyNumberFormat="1" applyFont="1" applyBorder="1" applyAlignment="1">
      <alignment horizontal="right" wrapText="1"/>
    </xf>
    <xf numFmtId="1" fontId="11" fillId="0" borderId="58" xfId="0" applyNumberFormat="1" applyFont="1" applyBorder="1" applyAlignment="1">
      <alignment horizontal="right" wrapText="1"/>
    </xf>
    <xf numFmtId="1" fontId="10" fillId="0" borderId="10" xfId="0" applyNumberFormat="1" applyFont="1" applyBorder="1" applyAlignment="1">
      <alignment horizontal="left"/>
    </xf>
    <xf numFmtId="1" fontId="11" fillId="0" borderId="54" xfId="0" applyNumberFormat="1" applyFont="1" applyBorder="1" applyAlignment="1">
      <alignment horizontal="right" wrapText="1"/>
    </xf>
    <xf numFmtId="0" fontId="17" fillId="0" borderId="0" xfId="0" applyFont="1" applyBorder="1"/>
    <xf numFmtId="1" fontId="6" fillId="0" borderId="1" xfId="0" applyNumberFormat="1" applyFont="1" applyBorder="1" applyAlignment="1">
      <alignment horizontal="center"/>
    </xf>
    <xf numFmtId="164" fontId="12" fillId="0" borderId="62" xfId="0" applyNumberFormat="1" applyFont="1" applyBorder="1"/>
    <xf numFmtId="164" fontId="12" fillId="0" borderId="10" xfId="0" applyNumberFormat="1" applyFont="1" applyBorder="1"/>
    <xf numFmtId="0" fontId="12" fillId="0" borderId="47" xfId="0" applyFont="1" applyBorder="1"/>
    <xf numFmtId="0" fontId="12" fillId="0" borderId="4" xfId="0" applyFont="1" applyBorder="1"/>
    <xf numFmtId="0" fontId="12" fillId="0" borderId="53" xfId="0" applyFont="1" applyBorder="1" applyAlignment="1"/>
    <xf numFmtId="0" fontId="12" fillId="0" borderId="33" xfId="0" applyFont="1" applyBorder="1" applyAlignment="1"/>
    <xf numFmtId="0" fontId="12" fillId="0" borderId="28" xfId="0" applyFont="1" applyBorder="1"/>
    <xf numFmtId="0" fontId="12" fillId="0" borderId="30" xfId="0" applyFont="1" applyBorder="1"/>
    <xf numFmtId="0" fontId="12" fillId="0" borderId="63" xfId="0" applyFont="1" applyBorder="1"/>
    <xf numFmtId="0" fontId="12" fillId="0" borderId="53" xfId="0" applyFont="1" applyBorder="1"/>
    <xf numFmtId="0" fontId="12" fillId="0" borderId="65" xfId="0" applyFont="1" applyBorder="1"/>
    <xf numFmtId="0" fontId="10" fillId="0" borderId="11" xfId="0" applyFont="1" applyBorder="1"/>
    <xf numFmtId="0" fontId="10" fillId="0" borderId="12" xfId="0" applyFont="1" applyBorder="1"/>
    <xf numFmtId="1" fontId="12" fillId="0" borderId="28" xfId="0" applyNumberFormat="1" applyFont="1" applyBorder="1"/>
    <xf numFmtId="1" fontId="12" fillId="0" borderId="57" xfId="0" applyNumberFormat="1" applyFont="1" applyBorder="1"/>
    <xf numFmtId="1" fontId="12" fillId="0" borderId="30" xfId="0" applyNumberFormat="1" applyFont="1" applyBorder="1"/>
    <xf numFmtId="1" fontId="12" fillId="0" borderId="59" xfId="0" applyNumberFormat="1" applyFont="1" applyBorder="1"/>
    <xf numFmtId="1" fontId="12" fillId="0" borderId="52" xfId="0" applyNumberFormat="1" applyFont="1" applyBorder="1"/>
    <xf numFmtId="1" fontId="12" fillId="0" borderId="41" xfId="0" applyNumberFormat="1" applyFont="1" applyBorder="1"/>
    <xf numFmtId="1" fontId="10" fillId="0" borderId="11" xfId="0" applyNumberFormat="1" applyFont="1" applyBorder="1"/>
    <xf numFmtId="1" fontId="10" fillId="0" borderId="7" xfId="0" applyNumberFormat="1" applyFont="1" applyBorder="1"/>
    <xf numFmtId="1" fontId="12" fillId="0" borderId="32" xfId="0" applyNumberFormat="1" applyFont="1" applyBorder="1"/>
    <xf numFmtId="1" fontId="12" fillId="0" borderId="61" xfId="0" applyNumberFormat="1" applyFont="1" applyBorder="1"/>
    <xf numFmtId="0" fontId="12" fillId="0" borderId="0" xfId="0" applyFont="1"/>
    <xf numFmtId="0" fontId="10" fillId="0" borderId="2" xfId="0" applyFont="1" applyBorder="1"/>
    <xf numFmtId="1" fontId="12" fillId="0" borderId="29" xfId="0" applyNumberFormat="1" applyFont="1" applyBorder="1"/>
    <xf numFmtId="1" fontId="12" fillId="0" borderId="27" xfId="0" applyNumberFormat="1" applyFont="1" applyBorder="1"/>
    <xf numFmtId="1" fontId="10" fillId="0" borderId="12" xfId="0" applyNumberFormat="1" applyFont="1" applyBorder="1"/>
    <xf numFmtId="1" fontId="12" fillId="0" borderId="55" xfId="0" applyNumberFormat="1" applyFont="1" applyBorder="1"/>
    <xf numFmtId="1" fontId="12" fillId="0" borderId="24" xfId="0" applyNumberFormat="1" applyFont="1" applyBorder="1" applyAlignment="1" applyProtection="1">
      <alignment horizontal="right" wrapText="1"/>
      <protection locked="0"/>
    </xf>
    <xf numFmtId="1" fontId="12" fillId="0" borderId="25" xfId="0" applyNumberFormat="1" applyFont="1" applyBorder="1" applyAlignment="1" applyProtection="1">
      <alignment horizontal="right" wrapText="1"/>
      <protection locked="0"/>
    </xf>
    <xf numFmtId="1" fontId="12" fillId="0" borderId="17" xfId="0" applyNumberFormat="1" applyFont="1" applyBorder="1" applyAlignment="1" applyProtection="1">
      <alignment horizontal="right"/>
      <protection locked="0"/>
    </xf>
    <xf numFmtId="1" fontId="12" fillId="0" borderId="38" xfId="0" applyNumberFormat="1" applyFont="1" applyBorder="1" applyAlignment="1" applyProtection="1">
      <alignment horizontal="right"/>
      <protection locked="0"/>
    </xf>
    <xf numFmtId="1" fontId="12" fillId="0" borderId="0" xfId="0" applyNumberFormat="1" applyFont="1" applyBorder="1" applyAlignment="1" applyProtection="1">
      <alignment horizontal="right"/>
      <protection locked="0"/>
    </xf>
    <xf numFmtId="1" fontId="12" fillId="0" borderId="26" xfId="0" applyNumberFormat="1" applyFont="1" applyBorder="1" applyAlignment="1" applyProtection="1">
      <alignment horizontal="right" wrapText="1"/>
      <protection locked="0"/>
    </xf>
    <xf numFmtId="1" fontId="12" fillId="0" borderId="60" xfId="0" applyNumberFormat="1" applyFont="1" applyBorder="1" applyAlignment="1" applyProtection="1">
      <alignment horizontal="right"/>
      <protection locked="0"/>
    </xf>
    <xf numFmtId="1" fontId="12" fillId="0" borderId="42" xfId="0" applyNumberFormat="1" applyFont="1" applyBorder="1" applyAlignment="1" applyProtection="1">
      <alignment horizontal="right" wrapText="1"/>
      <protection locked="0"/>
    </xf>
    <xf numFmtId="1" fontId="12" fillId="0" borderId="43" xfId="0" applyNumberFormat="1" applyFont="1" applyBorder="1" applyAlignment="1" applyProtection="1">
      <alignment horizontal="right" wrapText="1"/>
      <protection locked="0"/>
    </xf>
    <xf numFmtId="1" fontId="10" fillId="0" borderId="21" xfId="0" applyNumberFormat="1" applyFont="1" applyBorder="1" applyAlignment="1">
      <alignment horizontal="left"/>
    </xf>
    <xf numFmtId="1" fontId="10" fillId="0" borderId="6" xfId="0" applyNumberFormat="1" applyFont="1" applyBorder="1" applyAlignment="1">
      <alignment horizontal="left"/>
    </xf>
    <xf numFmtId="1" fontId="10" fillId="0" borderId="0" xfId="0" applyNumberFormat="1" applyFont="1" applyBorder="1" applyAlignment="1">
      <alignment horizontal="left"/>
    </xf>
    <xf numFmtId="1" fontId="10" fillId="0" borderId="0" xfId="0" applyNumberFormat="1" applyFont="1" applyBorder="1" applyAlignment="1">
      <alignment horizontal="right"/>
    </xf>
    <xf numFmtId="164" fontId="10" fillId="0" borderId="5" xfId="0" applyNumberFormat="1" applyFont="1" applyBorder="1"/>
    <xf numFmtId="1" fontId="13" fillId="0" borderId="26" xfId="0" applyNumberFormat="1" applyFont="1" applyBorder="1" applyAlignment="1">
      <alignment horizontal="right" wrapText="1"/>
    </xf>
    <xf numFmtId="1" fontId="13" fillId="0" borderId="22" xfId="0" applyNumberFormat="1" applyFont="1" applyBorder="1" applyAlignment="1">
      <alignment horizontal="right" wrapText="1"/>
    </xf>
    <xf numFmtId="1" fontId="12" fillId="0" borderId="60" xfId="0" applyNumberFormat="1" applyFont="1" applyBorder="1" applyAlignment="1">
      <alignment horizontal="right"/>
    </xf>
    <xf numFmtId="1" fontId="10" fillId="0" borderId="19" xfId="0" applyNumberFormat="1" applyFont="1" applyBorder="1" applyAlignment="1">
      <alignment horizontal="left"/>
    </xf>
    <xf numFmtId="1" fontId="10" fillId="0" borderId="5" xfId="0" applyNumberFormat="1" applyFont="1" applyBorder="1" applyAlignment="1">
      <alignment horizontal="left"/>
    </xf>
    <xf numFmtId="1" fontId="12" fillId="0" borderId="38" xfId="0" applyNumberFormat="1" applyFont="1" applyBorder="1" applyAlignment="1">
      <alignment horizontal="right"/>
    </xf>
    <xf numFmtId="1" fontId="13" fillId="0" borderId="16" xfId="0" applyNumberFormat="1" applyFont="1" applyBorder="1" applyAlignment="1">
      <alignment horizontal="right" wrapText="1"/>
    </xf>
    <xf numFmtId="1" fontId="13" fillId="0" borderId="38" xfId="0" applyNumberFormat="1" applyFont="1" applyBorder="1" applyAlignment="1">
      <alignment horizontal="right" wrapText="1"/>
    </xf>
    <xf numFmtId="9" fontId="10" fillId="0" borderId="6" xfId="0" applyNumberFormat="1" applyFont="1" applyBorder="1" applyAlignment="1">
      <alignment horizontal="right"/>
    </xf>
    <xf numFmtId="9" fontId="10" fillId="0" borderId="60" xfId="0" applyNumberFormat="1" applyFont="1" applyBorder="1" applyAlignment="1">
      <alignment horizontal="right"/>
    </xf>
    <xf numFmtId="9" fontId="10" fillId="0" borderId="4" xfId="0" applyNumberFormat="1" applyFont="1" applyBorder="1" applyAlignment="1">
      <alignment horizontal="right"/>
    </xf>
    <xf numFmtId="9" fontId="10" fillId="0" borderId="20" xfId="0" applyNumberFormat="1" applyFont="1" applyBorder="1" applyAlignment="1">
      <alignment horizontal="right"/>
    </xf>
    <xf numFmtId="9" fontId="10" fillId="0" borderId="31" xfId="0" applyNumberFormat="1" applyFont="1" applyBorder="1" applyAlignment="1">
      <alignment horizontal="right"/>
    </xf>
    <xf numFmtId="9" fontId="10" fillId="0" borderId="38" xfId="0" applyNumberFormat="1" applyFont="1" applyBorder="1" applyAlignment="1">
      <alignment horizontal="right"/>
    </xf>
    <xf numFmtId="9" fontId="10" fillId="0" borderId="39" xfId="0" applyNumberFormat="1" applyFont="1" applyBorder="1" applyAlignment="1">
      <alignment horizontal="right"/>
    </xf>
    <xf numFmtId="9" fontId="10" fillId="0" borderId="21" xfId="0" applyNumberFormat="1" applyFont="1" applyBorder="1" applyAlignment="1">
      <alignment horizontal="right"/>
    </xf>
    <xf numFmtId="9" fontId="10" fillId="0" borderId="22" xfId="0" applyNumberFormat="1" applyFont="1" applyBorder="1" applyAlignment="1">
      <alignment horizontal="right"/>
    </xf>
    <xf numFmtId="9" fontId="10" fillId="0" borderId="23" xfId="0" applyNumberFormat="1" applyFont="1" applyBorder="1" applyAlignment="1">
      <alignment horizontal="right"/>
    </xf>
    <xf numFmtId="9" fontId="10" fillId="0" borderId="25" xfId="0" applyNumberFormat="1" applyFont="1" applyBorder="1" applyAlignment="1">
      <alignment horizontal="right"/>
    </xf>
    <xf numFmtId="9" fontId="10" fillId="0" borderId="26" xfId="0" applyNumberFormat="1" applyFont="1" applyBorder="1" applyAlignment="1">
      <alignment horizontal="right"/>
    </xf>
    <xf numFmtId="9" fontId="10" fillId="0" borderId="16" xfId="0" applyNumberFormat="1" applyFont="1" applyBorder="1" applyAlignment="1">
      <alignment horizontal="right"/>
    </xf>
    <xf numFmtId="9" fontId="10" fillId="0" borderId="40" xfId="0" applyNumberFormat="1" applyFont="1" applyBorder="1" applyAlignment="1">
      <alignment horizontal="right"/>
    </xf>
    <xf numFmtId="1" fontId="11" fillId="0" borderId="57" xfId="0" applyNumberFormat="1" applyFont="1" applyBorder="1" applyAlignment="1">
      <alignment wrapText="1"/>
    </xf>
    <xf numFmtId="0" fontId="0" fillId="0" borderId="27" xfId="0" applyFill="1" applyBorder="1"/>
    <xf numFmtId="1" fontId="10" fillId="0" borderId="11" xfId="0" applyNumberFormat="1" applyFont="1" applyBorder="1" applyAlignment="1">
      <alignment horizontal="center" wrapText="1"/>
    </xf>
    <xf numFmtId="1" fontId="10" fillId="0" borderId="3" xfId="0" applyNumberFormat="1" applyFont="1" applyBorder="1" applyAlignment="1">
      <alignment horizontal="center" wrapText="1"/>
    </xf>
    <xf numFmtId="1" fontId="10" fillId="0" borderId="54" xfId="0" applyNumberFormat="1" applyFont="1" applyFill="1" applyBorder="1" applyAlignment="1">
      <alignment horizontal="right" wrapText="1"/>
    </xf>
    <xf numFmtId="1" fontId="12" fillId="0" borderId="48" xfId="0" applyNumberFormat="1" applyFont="1" applyBorder="1"/>
    <xf numFmtId="1" fontId="12" fillId="0" borderId="53" xfId="0" applyNumberFormat="1" applyFont="1" applyBorder="1"/>
    <xf numFmtId="1" fontId="12" fillId="0" borderId="33" xfId="0" applyNumberFormat="1" applyFont="1" applyBorder="1"/>
    <xf numFmtId="1" fontId="12" fillId="0" borderId="13" xfId="0" applyNumberFormat="1" applyFont="1" applyBorder="1"/>
    <xf numFmtId="1" fontId="12" fillId="0" borderId="34" xfId="0" applyNumberFormat="1" applyFont="1" applyBorder="1" applyAlignment="1" applyProtection="1">
      <alignment horizontal="right" wrapText="1"/>
      <protection locked="0"/>
    </xf>
    <xf numFmtId="1" fontId="12" fillId="2" borderId="61" xfId="0" applyNumberFormat="1" applyFont="1" applyFill="1" applyBorder="1" applyAlignment="1" applyProtection="1">
      <alignment horizontal="right" wrapText="1"/>
      <protection locked="0"/>
    </xf>
    <xf numFmtId="1" fontId="12" fillId="0" borderId="67" xfId="0" applyNumberFormat="1" applyFont="1" applyBorder="1" applyAlignment="1" applyProtection="1">
      <alignment horizontal="right"/>
      <protection locked="0"/>
    </xf>
    <xf numFmtId="1" fontId="12" fillId="2" borderId="41" xfId="0" applyNumberFormat="1" applyFont="1" applyFill="1" applyBorder="1" applyAlignment="1" applyProtection="1">
      <alignment horizontal="right"/>
      <protection locked="0"/>
    </xf>
    <xf numFmtId="1" fontId="12" fillId="0" borderId="68" xfId="0" applyNumberFormat="1" applyFont="1" applyBorder="1" applyAlignment="1" applyProtection="1">
      <alignment horizontal="right" wrapText="1"/>
      <protection locked="0"/>
    </xf>
    <xf numFmtId="0" fontId="0" fillId="0" borderId="0" xfId="0" applyFill="1"/>
    <xf numFmtId="165" fontId="0" fillId="0" borderId="0" xfId="0" applyNumberFormat="1"/>
    <xf numFmtId="0" fontId="12" fillId="0" borderId="26" xfId="0" applyFont="1" applyBorder="1"/>
    <xf numFmtId="0" fontId="12" fillId="0" borderId="16" xfId="0" applyFont="1" applyBorder="1"/>
    <xf numFmtId="0" fontId="12" fillId="0" borderId="60" xfId="0" applyFont="1" applyBorder="1"/>
    <xf numFmtId="1" fontId="12" fillId="0" borderId="16" xfId="0" applyNumberFormat="1" applyFont="1" applyBorder="1"/>
    <xf numFmtId="1" fontId="12" fillId="0" borderId="38" xfId="0" applyNumberFormat="1" applyFont="1" applyBorder="1"/>
    <xf numFmtId="1" fontId="10" fillId="2" borderId="0" xfId="0" applyNumberFormat="1" applyFont="1" applyFill="1" applyBorder="1" applyAlignment="1">
      <alignment horizontal="right"/>
    </xf>
    <xf numFmtId="164" fontId="10" fillId="0" borderId="45" xfId="0" applyNumberFormat="1" applyFont="1" applyBorder="1"/>
    <xf numFmtId="1" fontId="13" fillId="0" borderId="24" xfId="0" applyNumberFormat="1" applyFont="1" applyBorder="1" applyAlignment="1">
      <alignment horizontal="right" wrapText="1"/>
    </xf>
    <xf numFmtId="1" fontId="12" fillId="0" borderId="69" xfId="0" applyNumberFormat="1" applyFont="1" applyBorder="1" applyAlignment="1">
      <alignment horizontal="right"/>
    </xf>
    <xf numFmtId="1" fontId="10" fillId="0" borderId="45" xfId="0" applyNumberFormat="1" applyFont="1" applyBorder="1" applyAlignment="1">
      <alignment horizontal="center" wrapText="1"/>
    </xf>
    <xf numFmtId="1" fontId="13" fillId="0" borderId="23" xfId="0" applyNumberFormat="1" applyFont="1" applyBorder="1" applyAlignment="1">
      <alignment horizontal="right" wrapText="1"/>
    </xf>
    <xf numFmtId="1" fontId="13" fillId="0" borderId="4" xfId="0" applyNumberFormat="1" applyFont="1" applyBorder="1" applyAlignment="1">
      <alignment horizontal="right" wrapText="1"/>
    </xf>
    <xf numFmtId="1" fontId="12" fillId="0" borderId="70" xfId="0" applyNumberFormat="1" applyFont="1" applyBorder="1" applyAlignment="1" applyProtection="1">
      <alignment horizontal="right" wrapText="1"/>
      <protection locked="0"/>
    </xf>
    <xf numFmtId="0" fontId="0" fillId="0" borderId="0" xfId="0" applyFill="1" applyBorder="1"/>
    <xf numFmtId="0" fontId="12" fillId="0" borderId="23" xfId="0" applyFont="1" applyBorder="1"/>
    <xf numFmtId="164" fontId="10" fillId="0" borderId="62" xfId="0" applyNumberFormat="1" applyFont="1" applyBorder="1"/>
    <xf numFmtId="164" fontId="10" fillId="0" borderId="54" xfId="0" applyNumberFormat="1" applyFont="1" applyBorder="1"/>
    <xf numFmtId="166" fontId="10" fillId="0" borderId="0" xfId="0" applyNumberFormat="1" applyFont="1" applyBorder="1" applyAlignment="1">
      <alignment horizontal="right"/>
    </xf>
    <xf numFmtId="1" fontId="12" fillId="0" borderId="0" xfId="0" applyNumberFormat="1" applyFont="1"/>
    <xf numFmtId="1" fontId="12" fillId="0" borderId="47" xfId="0" applyNumberFormat="1" applyFont="1" applyBorder="1"/>
    <xf numFmtId="0" fontId="10" fillId="0" borderId="3" xfId="0" applyFont="1" applyBorder="1"/>
    <xf numFmtId="167" fontId="22" fillId="0" borderId="0" xfId="0" applyNumberFormat="1" applyFont="1" applyBorder="1" applyAlignment="1">
      <alignment horizontal="left" wrapText="1"/>
    </xf>
    <xf numFmtId="0" fontId="24" fillId="0" borderId="0" xfId="0" applyFont="1"/>
    <xf numFmtId="1" fontId="23" fillId="0" borderId="10" xfId="0" applyNumberFormat="1" applyFont="1" applyBorder="1" applyAlignment="1">
      <alignment horizontal="center"/>
    </xf>
    <xf numFmtId="1" fontId="21" fillId="0" borderId="10" xfId="0" applyNumberFormat="1" applyFont="1" applyBorder="1" applyAlignment="1">
      <alignment horizontal="center"/>
    </xf>
    <xf numFmtId="1" fontId="21" fillId="0" borderId="11" xfId="0" applyNumberFormat="1" applyFont="1" applyBorder="1" applyAlignment="1">
      <alignment horizontal="center" wrapText="1"/>
    </xf>
    <xf numFmtId="1" fontId="21" fillId="0" borderId="7" xfId="0" applyNumberFormat="1" applyFont="1" applyBorder="1" applyAlignment="1">
      <alignment horizontal="center" wrapText="1"/>
    </xf>
    <xf numFmtId="1" fontId="21" fillId="0" borderId="12" xfId="0" applyNumberFormat="1" applyFont="1" applyBorder="1" applyAlignment="1">
      <alignment horizontal="center" wrapText="1"/>
    </xf>
    <xf numFmtId="1" fontId="21" fillId="0" borderId="10" xfId="0" applyNumberFormat="1" applyFont="1" applyBorder="1" applyAlignment="1">
      <alignment horizontal="center" wrapText="1"/>
    </xf>
    <xf numFmtId="1" fontId="21" fillId="0" borderId="2" xfId="0" applyNumberFormat="1" applyFont="1" applyBorder="1" applyAlignment="1">
      <alignment horizontal="center" wrapText="1"/>
    </xf>
    <xf numFmtId="0" fontId="20" fillId="0" borderId="13" xfId="0" applyFont="1" applyBorder="1"/>
    <xf numFmtId="164" fontId="20" fillId="0" borderId="49" xfId="0" applyNumberFormat="1" applyFont="1" applyBorder="1"/>
    <xf numFmtId="0" fontId="20" fillId="0" borderId="0" xfId="0" applyFont="1"/>
    <xf numFmtId="164" fontId="20" fillId="0" borderId="46" xfId="0" applyNumberFormat="1" applyFont="1" applyBorder="1"/>
    <xf numFmtId="1" fontId="20" fillId="0" borderId="30" xfId="0" applyNumberFormat="1" applyFont="1" applyBorder="1"/>
    <xf numFmtId="1" fontId="20" fillId="0" borderId="59" xfId="0" applyNumberFormat="1" applyFont="1" applyBorder="1"/>
    <xf numFmtId="0" fontId="20" fillId="0" borderId="48" xfId="0" applyFont="1" applyBorder="1"/>
    <xf numFmtId="0" fontId="20" fillId="0" borderId="47" xfId="0" applyFont="1" applyBorder="1"/>
    <xf numFmtId="164" fontId="20" fillId="0" borderId="44" xfId="0" applyNumberFormat="1" applyFont="1" applyBorder="1"/>
    <xf numFmtId="0" fontId="20" fillId="0" borderId="27" xfId="0" applyFont="1" applyBorder="1"/>
    <xf numFmtId="0" fontId="20" fillId="0" borderId="0" xfId="0" applyFont="1" applyBorder="1"/>
    <xf numFmtId="1" fontId="21" fillId="0" borderId="11" xfId="0" applyNumberFormat="1" applyFont="1" applyBorder="1"/>
    <xf numFmtId="1" fontId="21" fillId="0" borderId="7" xfId="0" applyNumberFormat="1" applyFont="1" applyBorder="1"/>
    <xf numFmtId="0" fontId="21" fillId="0" borderId="12" xfId="0" applyFont="1" applyBorder="1"/>
    <xf numFmtId="164" fontId="21" fillId="0" borderId="10" xfId="0" applyNumberFormat="1" applyFont="1" applyBorder="1"/>
    <xf numFmtId="0" fontId="21" fillId="0" borderId="11" xfId="0" applyFont="1" applyBorder="1"/>
    <xf numFmtId="1" fontId="21" fillId="0" borderId="12" xfId="0" applyNumberFormat="1" applyFont="1" applyBorder="1"/>
    <xf numFmtId="0" fontId="21" fillId="0" borderId="2" xfId="0" applyFont="1" applyBorder="1"/>
    <xf numFmtId="164" fontId="20" fillId="0" borderId="10" xfId="0" applyNumberFormat="1" applyFont="1" applyBorder="1"/>
    <xf numFmtId="1" fontId="20" fillId="0" borderId="28" xfId="0" applyNumberFormat="1" applyFont="1" applyBorder="1" applyAlignment="1"/>
    <xf numFmtId="1" fontId="20" fillId="0" borderId="55" xfId="0" applyNumberFormat="1" applyFont="1" applyBorder="1" applyAlignment="1"/>
    <xf numFmtId="164" fontId="20" fillId="0" borderId="45" xfId="0" applyNumberFormat="1" applyFont="1" applyBorder="1"/>
    <xf numFmtId="0" fontId="20" fillId="0" borderId="27" xfId="0" applyFont="1" applyBorder="1" applyAlignment="1"/>
    <xf numFmtId="1" fontId="20" fillId="0" borderId="30" xfId="0" applyNumberFormat="1" applyFont="1" applyBorder="1" applyAlignment="1"/>
    <xf numFmtId="1" fontId="20" fillId="0" borderId="59" xfId="0" applyNumberFormat="1" applyFont="1" applyBorder="1" applyAlignment="1"/>
    <xf numFmtId="0" fontId="20" fillId="0" borderId="48" xfId="0" applyFont="1" applyBorder="1" applyAlignment="1"/>
    <xf numFmtId="0" fontId="20" fillId="0" borderId="38" xfId="0" applyFont="1" applyBorder="1"/>
    <xf numFmtId="0" fontId="20" fillId="0" borderId="4" xfId="0" applyFont="1" applyBorder="1"/>
    <xf numFmtId="164" fontId="20" fillId="0" borderId="5" xfId="0" applyNumberFormat="1" applyFont="1" applyBorder="1"/>
    <xf numFmtId="1" fontId="21" fillId="0" borderId="11" xfId="0" applyNumberFormat="1" applyFont="1" applyBorder="1" applyAlignment="1"/>
    <xf numFmtId="1" fontId="21" fillId="0" borderId="7" xfId="0" applyNumberFormat="1" applyFont="1" applyBorder="1" applyAlignment="1"/>
    <xf numFmtId="0" fontId="21" fillId="0" borderId="12" xfId="0" applyFont="1" applyBorder="1" applyAlignment="1"/>
    <xf numFmtId="0" fontId="21" fillId="0" borderId="2" xfId="0" applyFont="1" applyBorder="1" applyAlignment="1"/>
    <xf numFmtId="1" fontId="6" fillId="0" borderId="4" xfId="0" applyNumberFormat="1" applyFont="1" applyBorder="1" applyAlignment="1"/>
    <xf numFmtId="1" fontId="6" fillId="0" borderId="1" xfId="0" applyNumberFormat="1" applyFont="1" applyBorder="1" applyAlignment="1"/>
    <xf numFmtId="1" fontId="11" fillId="0" borderId="10" xfId="0" applyNumberFormat="1" applyFont="1" applyFill="1" applyBorder="1" applyAlignment="1">
      <alignment horizontal="center" wrapText="1"/>
    </xf>
    <xf numFmtId="1" fontId="10" fillId="0" borderId="10" xfId="0" applyNumberFormat="1" applyFont="1" applyFill="1" applyBorder="1" applyAlignment="1">
      <alignment horizontal="right"/>
    </xf>
    <xf numFmtId="1" fontId="11" fillId="0" borderId="12" xfId="0" applyNumberFormat="1" applyFont="1" applyFill="1" applyBorder="1" applyAlignment="1">
      <alignment horizontal="center" wrapText="1"/>
    </xf>
    <xf numFmtId="0" fontId="20" fillId="0" borderId="27" xfId="0" applyFont="1" applyFill="1" applyBorder="1" applyAlignment="1"/>
    <xf numFmtId="0" fontId="20" fillId="0" borderId="48" xfId="0" applyFont="1" applyFill="1" applyBorder="1" applyAlignment="1"/>
    <xf numFmtId="0" fontId="12" fillId="0" borderId="59" xfId="0" applyFont="1" applyBorder="1"/>
    <xf numFmtId="1" fontId="12" fillId="0" borderId="59" xfId="0" applyNumberFormat="1" applyFont="1" applyFill="1" applyBorder="1"/>
    <xf numFmtId="1" fontId="0" fillId="0" borderId="59" xfId="0" applyNumberFormat="1" applyFill="1" applyBorder="1"/>
    <xf numFmtId="0" fontId="20" fillId="3" borderId="27" xfId="0" applyFont="1" applyFill="1" applyBorder="1" applyAlignment="1"/>
    <xf numFmtId="0" fontId="20" fillId="3" borderId="0" xfId="0" applyFont="1" applyFill="1" applyBorder="1" applyAlignment="1"/>
    <xf numFmtId="164" fontId="20" fillId="3" borderId="45" xfId="0" applyNumberFormat="1" applyFont="1" applyFill="1" applyBorder="1"/>
    <xf numFmtId="0" fontId="20" fillId="3" borderId="48" xfId="0" applyFont="1" applyFill="1" applyBorder="1" applyAlignment="1"/>
    <xf numFmtId="0" fontId="20" fillId="3" borderId="47" xfId="0" applyFont="1" applyFill="1" applyBorder="1" applyAlignment="1"/>
    <xf numFmtId="164" fontId="20" fillId="3" borderId="44" xfId="0" applyNumberFormat="1" applyFont="1" applyFill="1" applyBorder="1"/>
    <xf numFmtId="164" fontId="20" fillId="3" borderId="49" xfId="0" applyNumberFormat="1" applyFont="1" applyFill="1" applyBorder="1"/>
    <xf numFmtId="1" fontId="12" fillId="0" borderId="19" xfId="0" applyNumberFormat="1" applyFont="1" applyFill="1" applyBorder="1" applyAlignment="1" applyProtection="1">
      <alignment horizontal="right"/>
      <protection locked="0"/>
    </xf>
    <xf numFmtId="1" fontId="12" fillId="0" borderId="49" xfId="0" applyNumberFormat="1" applyFont="1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1" fontId="12" fillId="0" borderId="44" xfId="1" applyNumberFormat="1" applyFont="1" applyBorder="1" applyAlignment="1">
      <alignment horizontal="left"/>
    </xf>
    <xf numFmtId="1" fontId="12" fillId="0" borderId="50" xfId="1" applyNumberFormat="1" applyFont="1" applyBorder="1" applyAlignment="1" applyProtection="1">
      <alignment horizontal="right" wrapText="1"/>
      <protection locked="0"/>
    </xf>
    <xf numFmtId="1" fontId="12" fillId="0" borderId="59" xfId="1" applyNumberFormat="1" applyFont="1" applyBorder="1" applyAlignment="1" applyProtection="1">
      <alignment horizontal="right" wrapText="1"/>
      <protection locked="0"/>
    </xf>
    <xf numFmtId="1" fontId="12" fillId="0" borderId="48" xfId="1" applyNumberFormat="1" applyFont="1" applyBorder="1" applyAlignment="1" applyProtection="1">
      <alignment horizontal="right" wrapText="1"/>
      <protection locked="0"/>
    </xf>
    <xf numFmtId="0" fontId="26" fillId="0" borderId="0" xfId="1"/>
    <xf numFmtId="164" fontId="12" fillId="0" borderId="67" xfId="0" applyNumberFormat="1" applyFont="1" applyBorder="1"/>
    <xf numFmtId="164" fontId="12" fillId="0" borderId="39" xfId="0" applyNumberFormat="1" applyFont="1" applyBorder="1"/>
    <xf numFmtId="1" fontId="10" fillId="0" borderId="38" xfId="0" applyNumberFormat="1" applyFont="1" applyBorder="1" applyAlignment="1">
      <alignment horizontal="right"/>
    </xf>
    <xf numFmtId="1" fontId="10" fillId="0" borderId="4" xfId="0" applyNumberFormat="1" applyFont="1" applyBorder="1" applyAlignment="1">
      <alignment horizontal="right"/>
    </xf>
    <xf numFmtId="1" fontId="12" fillId="0" borderId="59" xfId="1" applyNumberFormat="1" applyFont="1" applyBorder="1" applyAlignment="1" applyProtection="1">
      <protection locked="0"/>
    </xf>
    <xf numFmtId="0" fontId="12" fillId="0" borderId="59" xfId="1" applyFont="1" applyBorder="1"/>
    <xf numFmtId="0" fontId="0" fillId="0" borderId="25" xfId="0" applyBorder="1"/>
    <xf numFmtId="0" fontId="0" fillId="0" borderId="42" xfId="0" applyBorder="1"/>
    <xf numFmtId="0" fontId="0" fillId="0" borderId="43" xfId="0" applyBorder="1"/>
    <xf numFmtId="1" fontId="12" fillId="0" borderId="50" xfId="1" applyNumberFormat="1" applyFont="1" applyBorder="1" applyAlignment="1" applyProtection="1">
      <alignment horizontal="right"/>
      <protection locked="0"/>
    </xf>
    <xf numFmtId="1" fontId="12" fillId="0" borderId="22" xfId="0" applyNumberFormat="1" applyFont="1" applyBorder="1" applyAlignment="1" applyProtection="1">
      <alignment horizontal="right"/>
      <protection locked="0"/>
    </xf>
    <xf numFmtId="1" fontId="12" fillId="0" borderId="25" xfId="0" applyNumberFormat="1" applyFont="1" applyBorder="1" applyAlignment="1" applyProtection="1">
      <alignment horizontal="right"/>
      <protection locked="0"/>
    </xf>
    <xf numFmtId="1" fontId="12" fillId="0" borderId="71" xfId="1" applyNumberFormat="1" applyFont="1" applyBorder="1" applyAlignment="1" applyProtection="1">
      <protection locked="0"/>
    </xf>
    <xf numFmtId="1" fontId="12" fillId="0" borderId="42" xfId="0" applyNumberFormat="1" applyFont="1" applyBorder="1" applyAlignment="1" applyProtection="1">
      <alignment horizontal="right"/>
      <protection locked="0"/>
    </xf>
    <xf numFmtId="1" fontId="12" fillId="0" borderId="43" xfId="0" applyNumberFormat="1" applyFont="1" applyBorder="1" applyAlignment="1" applyProtection="1">
      <alignment horizontal="right"/>
      <protection locked="0"/>
    </xf>
    <xf numFmtId="164" fontId="12" fillId="0" borderId="48" xfId="1" applyNumberFormat="1" applyFont="1" applyBorder="1" applyAlignment="1">
      <alignment horizontal="right"/>
    </xf>
    <xf numFmtId="0" fontId="0" fillId="0" borderId="56" xfId="0" applyBorder="1"/>
    <xf numFmtId="1" fontId="12" fillId="0" borderId="44" xfId="1" applyNumberFormat="1" applyFont="1" applyBorder="1" applyAlignment="1" applyProtection="1">
      <protection locked="0"/>
    </xf>
    <xf numFmtId="164" fontId="12" fillId="0" borderId="48" xfId="0" applyNumberFormat="1" applyFont="1" applyBorder="1"/>
    <xf numFmtId="1" fontId="12" fillId="0" borderId="44" xfId="1" applyNumberFormat="1" applyFont="1" applyBorder="1" applyAlignment="1" applyProtection="1">
      <alignment horizontal="right"/>
      <protection locked="0"/>
    </xf>
    <xf numFmtId="164" fontId="12" fillId="0" borderId="21" xfId="0" applyNumberFormat="1" applyFont="1" applyBorder="1"/>
    <xf numFmtId="1" fontId="12" fillId="0" borderId="73" xfId="1" applyNumberFormat="1" applyFont="1" applyBorder="1" applyAlignment="1" applyProtection="1">
      <protection locked="0"/>
    </xf>
    <xf numFmtId="164" fontId="12" fillId="0" borderId="6" xfId="0" applyNumberFormat="1" applyFont="1" applyBorder="1"/>
    <xf numFmtId="1" fontId="11" fillId="0" borderId="29" xfId="0" applyNumberFormat="1" applyFont="1" applyBorder="1" applyAlignment="1">
      <alignment horizontal="center" wrapText="1"/>
    </xf>
    <xf numFmtId="1" fontId="11" fillId="0" borderId="13" xfId="0" applyNumberFormat="1" applyFont="1" applyBorder="1" applyAlignment="1">
      <alignment horizontal="center" wrapText="1"/>
    </xf>
    <xf numFmtId="1" fontId="11" fillId="0" borderId="14" xfId="0" applyNumberFormat="1" applyFont="1" applyBorder="1" applyAlignment="1">
      <alignment horizontal="center" wrapText="1"/>
    </xf>
    <xf numFmtId="0" fontId="12" fillId="0" borderId="22" xfId="0" applyFont="1" applyBorder="1"/>
    <xf numFmtId="164" fontId="12" fillId="0" borderId="30" xfId="1" applyNumberFormat="1" applyFont="1" applyBorder="1" applyAlignment="1">
      <alignment horizontal="right"/>
    </xf>
    <xf numFmtId="0" fontId="0" fillId="0" borderId="72" xfId="0" applyBorder="1"/>
    <xf numFmtId="0" fontId="12" fillId="0" borderId="42" xfId="0" applyFont="1" applyBorder="1"/>
    <xf numFmtId="1" fontId="12" fillId="0" borderId="73" xfId="1" applyNumberFormat="1" applyFont="1" applyBorder="1" applyAlignment="1">
      <alignment horizontal="left"/>
    </xf>
    <xf numFmtId="1" fontId="11" fillId="0" borderId="58" xfId="0" applyNumberFormat="1" applyFont="1" applyBorder="1" applyAlignment="1">
      <alignment horizontal="center" wrapText="1"/>
    </xf>
    <xf numFmtId="1" fontId="11" fillId="0" borderId="57" xfId="0" applyNumberFormat="1" applyFont="1" applyBorder="1" applyAlignment="1">
      <alignment horizontal="center" wrapText="1"/>
    </xf>
    <xf numFmtId="1" fontId="11" fillId="0" borderId="54" xfId="0" applyNumberFormat="1" applyFont="1" applyBorder="1" applyAlignment="1">
      <alignment horizontal="center" wrapText="1"/>
    </xf>
    <xf numFmtId="9" fontId="10" fillId="2" borderId="4" xfId="0" applyNumberFormat="1" applyFont="1" applyFill="1" applyBorder="1" applyAlignment="1">
      <alignment horizontal="right"/>
    </xf>
    <xf numFmtId="9" fontId="12" fillId="0" borderId="59" xfId="0" applyNumberFormat="1" applyFont="1" applyBorder="1" applyAlignment="1" applyProtection="1">
      <alignment horizontal="right" wrapText="1"/>
      <protection locked="0"/>
    </xf>
    <xf numFmtId="9" fontId="12" fillId="2" borderId="59" xfId="0" applyNumberFormat="1" applyFont="1" applyFill="1" applyBorder="1" applyAlignment="1" applyProtection="1">
      <alignment horizontal="right" wrapText="1"/>
      <protection locked="0"/>
    </xf>
    <xf numFmtId="9" fontId="12" fillId="2" borderId="22" xfId="0" applyNumberFormat="1" applyFont="1" applyFill="1" applyBorder="1" applyAlignment="1" applyProtection="1">
      <alignment horizontal="right" wrapText="1"/>
      <protection locked="0"/>
    </xf>
    <xf numFmtId="9" fontId="12" fillId="0" borderId="30" xfId="0" applyNumberFormat="1" applyFont="1" applyBorder="1" applyAlignment="1" applyProtection="1">
      <alignment horizontal="right" wrapText="1"/>
      <protection locked="0"/>
    </xf>
    <xf numFmtId="9" fontId="12" fillId="0" borderId="71" xfId="0" applyNumberFormat="1" applyFont="1" applyBorder="1" applyAlignment="1" applyProtection="1">
      <alignment horizontal="right" wrapText="1"/>
      <protection locked="0"/>
    </xf>
    <xf numFmtId="9" fontId="12" fillId="0" borderId="72" xfId="0" applyNumberFormat="1" applyFont="1" applyBorder="1" applyAlignment="1" applyProtection="1">
      <alignment horizontal="right"/>
      <protection locked="0"/>
    </xf>
    <xf numFmtId="9" fontId="12" fillId="0" borderId="42" xfId="0" applyNumberFormat="1" applyFont="1" applyBorder="1" applyAlignment="1" applyProtection="1">
      <alignment horizontal="right"/>
      <protection locked="0"/>
    </xf>
    <xf numFmtId="9" fontId="12" fillId="2" borderId="42" xfId="0" applyNumberFormat="1" applyFont="1" applyFill="1" applyBorder="1" applyAlignment="1" applyProtection="1">
      <alignment horizontal="right"/>
      <protection locked="0"/>
    </xf>
    <xf numFmtId="9" fontId="12" fillId="0" borderId="43" xfId="0" applyNumberFormat="1" applyFont="1" applyBorder="1" applyAlignment="1" applyProtection="1">
      <alignment horizontal="right"/>
      <protection locked="0"/>
    </xf>
    <xf numFmtId="9" fontId="12" fillId="0" borderId="50" xfId="0" applyNumberFormat="1" applyFont="1" applyBorder="1" applyAlignment="1" applyProtection="1">
      <alignment horizontal="right" wrapText="1"/>
      <protection locked="0"/>
    </xf>
    <xf numFmtId="9" fontId="12" fillId="0" borderId="70" xfId="0" applyNumberFormat="1" applyFont="1" applyBorder="1" applyAlignment="1" applyProtection="1">
      <alignment horizontal="right"/>
      <protection locked="0"/>
    </xf>
    <xf numFmtId="9" fontId="12" fillId="0" borderId="73" xfId="0" applyNumberFormat="1" applyFont="1" applyBorder="1" applyAlignment="1" applyProtection="1">
      <alignment horizontal="right" wrapText="1"/>
      <protection locked="0"/>
    </xf>
    <xf numFmtId="9" fontId="12" fillId="0" borderId="74" xfId="0" applyNumberFormat="1" applyFont="1" applyBorder="1" applyAlignment="1" applyProtection="1">
      <alignment horizontal="right"/>
      <protection locked="0"/>
    </xf>
    <xf numFmtId="3" fontId="20" fillId="0" borderId="59" xfId="0" applyNumberFormat="1" applyFont="1" applyFill="1" applyBorder="1" applyAlignment="1">
      <alignment wrapText="1"/>
    </xf>
    <xf numFmtId="1" fontId="21" fillId="0" borderId="45" xfId="0" applyNumberFormat="1" applyFont="1" applyBorder="1" applyAlignment="1">
      <alignment horizontal="center" wrapText="1"/>
    </xf>
    <xf numFmtId="1" fontId="20" fillId="0" borderId="27" xfId="0" applyNumberFormat="1" applyFont="1" applyBorder="1" applyAlignment="1"/>
    <xf numFmtId="164" fontId="20" fillId="0" borderId="19" xfId="0" applyNumberFormat="1" applyFont="1" applyBorder="1"/>
    <xf numFmtId="1" fontId="20" fillId="0" borderId="48" xfId="0" applyNumberFormat="1" applyFont="1" applyBorder="1" applyAlignment="1"/>
    <xf numFmtId="164" fontId="20" fillId="0" borderId="62" xfId="0" applyNumberFormat="1" applyFont="1" applyBorder="1"/>
    <xf numFmtId="164" fontId="21" fillId="0" borderId="5" xfId="0" applyNumberFormat="1" applyFont="1" applyBorder="1"/>
    <xf numFmtId="1" fontId="11" fillId="0" borderId="9" xfId="0" applyNumberFormat="1" applyFont="1" applyBorder="1" applyAlignment="1">
      <alignment horizontal="center" wrapText="1"/>
    </xf>
    <xf numFmtId="1" fontId="10" fillId="0" borderId="6" xfId="0" applyNumberFormat="1" applyFont="1" applyBorder="1" applyAlignment="1">
      <alignment horizontal="right"/>
    </xf>
    <xf numFmtId="1" fontId="10" fillId="0" borderId="60" xfId="0" applyNumberFormat="1" applyFont="1" applyBorder="1" applyAlignment="1">
      <alignment horizontal="right"/>
    </xf>
    <xf numFmtId="1" fontId="10" fillId="0" borderId="39" xfId="0" applyNumberFormat="1" applyFont="1" applyBorder="1" applyAlignment="1">
      <alignment horizontal="right"/>
    </xf>
    <xf numFmtId="1" fontId="11" fillId="0" borderId="75" xfId="0" applyNumberFormat="1" applyFont="1" applyBorder="1" applyAlignment="1">
      <alignment horizontal="center" wrapText="1"/>
    </xf>
    <xf numFmtId="1" fontId="11" fillId="0" borderId="58" xfId="0" applyNumberFormat="1" applyFont="1" applyFill="1" applyBorder="1" applyAlignment="1">
      <alignment horizontal="center" wrapText="1"/>
    </xf>
    <xf numFmtId="1" fontId="10" fillId="0" borderId="29" xfId="0" applyNumberFormat="1" applyFont="1" applyBorder="1" applyAlignment="1">
      <alignment horizontal="center" wrapText="1"/>
    </xf>
    <xf numFmtId="1" fontId="21" fillId="3" borderId="12" xfId="0" applyNumberFormat="1" applyFont="1" applyFill="1" applyBorder="1" applyAlignment="1">
      <alignment horizontal="center" wrapText="1"/>
    </xf>
    <xf numFmtId="1" fontId="21" fillId="3" borderId="2" xfId="0" applyNumberFormat="1" applyFont="1" applyFill="1" applyBorder="1" applyAlignment="1">
      <alignment horizontal="center" wrapText="1"/>
    </xf>
    <xf numFmtId="1" fontId="12" fillId="0" borderId="1" xfId="0" applyNumberFormat="1" applyFont="1" applyBorder="1"/>
    <xf numFmtId="1" fontId="11" fillId="0" borderId="75" xfId="0" applyNumberFormat="1" applyFont="1" applyFill="1" applyBorder="1" applyAlignment="1">
      <alignment horizontal="center" wrapText="1"/>
    </xf>
    <xf numFmtId="1" fontId="11" fillId="0" borderId="29" xfId="0" applyNumberFormat="1" applyFont="1" applyBorder="1" applyAlignment="1">
      <alignment horizontal="right" wrapText="1"/>
    </xf>
    <xf numFmtId="1" fontId="10" fillId="0" borderId="57" xfId="0" applyNumberFormat="1" applyFont="1" applyFill="1" applyBorder="1" applyAlignment="1">
      <alignment wrapText="1"/>
    </xf>
    <xf numFmtId="1" fontId="11" fillId="0" borderId="75" xfId="0" applyNumberFormat="1" applyFont="1" applyFill="1" applyBorder="1" applyAlignment="1">
      <alignment wrapText="1"/>
    </xf>
    <xf numFmtId="1" fontId="12" fillId="0" borderId="59" xfId="1" applyNumberFormat="1" applyFont="1" applyBorder="1" applyAlignment="1" applyProtection="1">
      <alignment horizontal="right"/>
      <protection locked="0"/>
    </xf>
    <xf numFmtId="1" fontId="13" fillId="0" borderId="22" xfId="0" applyNumberFormat="1" applyFont="1" applyBorder="1" applyAlignment="1">
      <alignment wrapText="1"/>
    </xf>
    <xf numFmtId="1" fontId="13" fillId="0" borderId="25" xfId="0" applyNumberFormat="1" applyFont="1" applyFill="1" applyBorder="1" applyAlignment="1">
      <alignment wrapText="1"/>
    </xf>
    <xf numFmtId="1" fontId="12" fillId="0" borderId="30" xfId="1" applyNumberFormat="1" applyFont="1" applyBorder="1" applyAlignment="1" applyProtection="1">
      <alignment horizontal="right" wrapText="1"/>
      <protection locked="0"/>
    </xf>
    <xf numFmtId="1" fontId="12" fillId="0" borderId="71" xfId="1" applyNumberFormat="1" applyFont="1" applyBorder="1" applyAlignment="1" applyProtection="1">
      <alignment horizontal="right"/>
      <protection locked="0"/>
    </xf>
    <xf numFmtId="1" fontId="12" fillId="0" borderId="52" xfId="0" applyNumberFormat="1" applyFont="1" applyBorder="1" applyAlignment="1" applyProtection="1">
      <alignment horizontal="right"/>
      <protection locked="0"/>
    </xf>
    <xf numFmtId="1" fontId="12" fillId="0" borderId="41" xfId="0" applyNumberFormat="1" applyFont="1" applyBorder="1" applyAlignment="1" applyProtection="1">
      <alignment horizontal="right"/>
      <protection locked="0"/>
    </xf>
    <xf numFmtId="1" fontId="13" fillId="0" borderId="41" xfId="0" applyNumberFormat="1" applyFont="1" applyBorder="1" applyAlignment="1">
      <alignment wrapText="1"/>
    </xf>
    <xf numFmtId="1" fontId="13" fillId="0" borderId="35" xfId="0" applyNumberFormat="1" applyFont="1" applyFill="1" applyBorder="1" applyAlignment="1">
      <alignment wrapText="1"/>
    </xf>
    <xf numFmtId="1" fontId="10" fillId="0" borderId="9" xfId="0" applyNumberFormat="1" applyFont="1" applyFill="1" applyBorder="1" applyAlignment="1">
      <alignment horizontal="right"/>
    </xf>
    <xf numFmtId="1" fontId="21" fillId="0" borderId="9" xfId="0" applyNumberFormat="1" applyFont="1" applyFill="1" applyBorder="1" applyAlignment="1"/>
    <xf numFmtId="164" fontId="21" fillId="0" borderId="2" xfId="0" applyNumberFormat="1" applyFont="1" applyBorder="1"/>
    <xf numFmtId="1" fontId="10" fillId="0" borderId="10" xfId="0" applyNumberFormat="1" applyFont="1" applyBorder="1" applyAlignment="1">
      <alignment horizontal="right"/>
    </xf>
    <xf numFmtId="164" fontId="12" fillId="0" borderId="63" xfId="1" applyNumberFormat="1" applyFont="1" applyBorder="1"/>
    <xf numFmtId="0" fontId="26" fillId="0" borderId="59" xfId="1" applyFont="1" applyBorder="1"/>
    <xf numFmtId="0" fontId="26" fillId="0" borderId="71" xfId="1" applyFont="1" applyBorder="1"/>
    <xf numFmtId="9" fontId="0" fillId="0" borderId="0" xfId="0" applyNumberFormat="1"/>
    <xf numFmtId="1" fontId="12" fillId="0" borderId="21" xfId="0" applyNumberFormat="1" applyFont="1" applyBorder="1" applyAlignment="1">
      <alignment horizontal="left" wrapText="1"/>
    </xf>
    <xf numFmtId="1" fontId="12" fillId="0" borderId="50" xfId="1" applyNumberFormat="1" applyFont="1" applyBorder="1" applyAlignment="1">
      <alignment horizontal="left"/>
    </xf>
    <xf numFmtId="1" fontId="12" fillId="0" borderId="19" xfId="0" applyNumberFormat="1" applyFont="1" applyBorder="1" applyAlignment="1" applyProtection="1">
      <alignment horizontal="right"/>
      <protection locked="0"/>
    </xf>
    <xf numFmtId="1" fontId="12" fillId="0" borderId="49" xfId="0" applyNumberFormat="1" applyFont="1" applyBorder="1" applyProtection="1">
      <protection locked="0"/>
    </xf>
    <xf numFmtId="1" fontId="12" fillId="0" borderId="19" xfId="0" applyNumberFormat="1" applyFont="1" applyBorder="1" applyAlignment="1" applyProtection="1">
      <alignment horizontal="right" wrapText="1"/>
      <protection locked="0"/>
    </xf>
    <xf numFmtId="1" fontId="12" fillId="0" borderId="49" xfId="0" applyNumberFormat="1" applyFont="1" applyBorder="1" applyAlignment="1" applyProtection="1">
      <alignment horizontal="right"/>
      <protection locked="0"/>
    </xf>
    <xf numFmtId="9" fontId="12" fillId="0" borderId="19" xfId="0" applyNumberFormat="1" applyFont="1" applyBorder="1" applyAlignment="1" applyProtection="1">
      <alignment horizontal="right" wrapText="1"/>
      <protection locked="0"/>
    </xf>
    <xf numFmtId="9" fontId="12" fillId="0" borderId="49" xfId="0" applyNumberFormat="1" applyFont="1" applyBorder="1" applyAlignment="1" applyProtection="1">
      <alignment horizontal="right"/>
      <protection locked="0"/>
    </xf>
    <xf numFmtId="9" fontId="10" fillId="0" borderId="10" xfId="0" applyNumberFormat="1" applyFont="1" applyBorder="1" applyAlignment="1">
      <alignment horizontal="right"/>
    </xf>
    <xf numFmtId="1" fontId="10" fillId="2" borderId="38" xfId="0" applyNumberFormat="1" applyFont="1" applyFill="1" applyBorder="1" applyAlignment="1">
      <alignment horizontal="right"/>
    </xf>
    <xf numFmtId="1" fontId="12" fillId="2" borderId="22" xfId="0" applyNumberFormat="1" applyFont="1" applyFill="1" applyBorder="1" applyAlignment="1" applyProtection="1">
      <alignment horizontal="right" wrapText="1"/>
      <protection locked="0"/>
    </xf>
    <xf numFmtId="1" fontId="12" fillId="0" borderId="41" xfId="0" applyNumberFormat="1" applyFont="1" applyBorder="1" applyProtection="1">
      <protection locked="0"/>
    </xf>
    <xf numFmtId="1" fontId="10" fillId="2" borderId="7" xfId="0" applyNumberFormat="1" applyFont="1" applyFill="1" applyBorder="1" applyAlignment="1">
      <alignment horizontal="right"/>
    </xf>
    <xf numFmtId="1" fontId="10" fillId="0" borderId="58" xfId="0" applyNumberFormat="1" applyFont="1" applyBorder="1"/>
    <xf numFmtId="1" fontId="11" fillId="0" borderId="7" xfId="0" applyNumberFormat="1" applyFont="1" applyBorder="1" applyAlignment="1">
      <alignment horizontal="right" wrapText="1"/>
    </xf>
    <xf numFmtId="1" fontId="12" fillId="0" borderId="55" xfId="0" applyNumberFormat="1" applyFont="1" applyBorder="1" applyAlignment="1" applyProtection="1">
      <alignment horizontal="right" wrapText="1"/>
      <protection locked="0"/>
    </xf>
    <xf numFmtId="1" fontId="12" fillId="2" borderId="55" xfId="0" applyNumberFormat="1" applyFont="1" applyFill="1" applyBorder="1" applyAlignment="1" applyProtection="1">
      <alignment horizontal="right" wrapText="1"/>
      <protection locked="0"/>
    </xf>
    <xf numFmtId="1" fontId="12" fillId="0" borderId="27" xfId="0" applyNumberFormat="1" applyFont="1" applyBorder="1" applyAlignment="1" applyProtection="1">
      <alignment horizontal="right" wrapText="1"/>
      <protection locked="0"/>
    </xf>
    <xf numFmtId="1" fontId="12" fillId="0" borderId="53" xfId="0" applyNumberFormat="1" applyFont="1" applyBorder="1" applyAlignment="1" applyProtection="1">
      <alignment horizontal="right"/>
      <protection locked="0"/>
    </xf>
    <xf numFmtId="1" fontId="10" fillId="0" borderId="58" xfId="0" applyNumberFormat="1" applyFont="1" applyBorder="1" applyAlignment="1">
      <alignment horizontal="center"/>
    </xf>
    <xf numFmtId="1" fontId="12" fillId="0" borderId="44" xfId="0" applyNumberFormat="1" applyFont="1" applyBorder="1" applyAlignment="1">
      <alignment horizontal="left"/>
    </xf>
    <xf numFmtId="1" fontId="12" fillId="0" borderId="62" xfId="0" applyNumberFormat="1" applyFont="1" applyBorder="1" applyAlignment="1">
      <alignment horizontal="left"/>
    </xf>
    <xf numFmtId="1" fontId="13" fillId="0" borderId="55" xfId="0" applyNumberFormat="1" applyFont="1" applyBorder="1" applyAlignment="1">
      <alignment wrapText="1"/>
    </xf>
    <xf numFmtId="1" fontId="13" fillId="0" borderId="17" xfId="0" applyNumberFormat="1" applyFont="1" applyFill="1" applyBorder="1" applyAlignment="1">
      <alignment wrapText="1"/>
    </xf>
    <xf numFmtId="1" fontId="13" fillId="0" borderId="51" xfId="0" applyNumberFormat="1" applyFont="1" applyFill="1" applyBorder="1" applyAlignment="1">
      <alignment wrapText="1"/>
    </xf>
    <xf numFmtId="164" fontId="12" fillId="0" borderId="40" xfId="0" applyNumberFormat="1" applyFont="1" applyBorder="1"/>
    <xf numFmtId="164" fontId="12" fillId="0" borderId="36" xfId="0" applyNumberFormat="1" applyFont="1" applyBorder="1"/>
    <xf numFmtId="164" fontId="12" fillId="0" borderId="76" xfId="0" applyNumberFormat="1" applyFont="1" applyBorder="1"/>
    <xf numFmtId="1" fontId="12" fillId="0" borderId="59" xfId="0" applyNumberFormat="1" applyFont="1" applyBorder="1" applyAlignment="1" applyProtection="1">
      <alignment horizontal="right" wrapText="1"/>
      <protection locked="0"/>
    </xf>
    <xf numFmtId="1" fontId="12" fillId="0" borderId="30" xfId="0" applyNumberFormat="1" applyFont="1" applyBorder="1" applyAlignment="1" applyProtection="1">
      <alignment horizontal="right" wrapText="1"/>
      <protection locked="0"/>
    </xf>
    <xf numFmtId="1" fontId="12" fillId="0" borderId="71" xfId="0" applyNumberFormat="1" applyFont="1" applyBorder="1" applyAlignment="1" applyProtection="1">
      <alignment horizontal="right" wrapText="1"/>
      <protection locked="0"/>
    </xf>
    <xf numFmtId="1" fontId="12" fillId="0" borderId="72" xfId="0" applyNumberFormat="1" applyFont="1" applyBorder="1" applyProtection="1">
      <protection locked="0"/>
    </xf>
    <xf numFmtId="1" fontId="12" fillId="0" borderId="42" xfId="0" applyNumberFormat="1" applyFont="1" applyBorder="1" applyProtection="1">
      <protection locked="0"/>
    </xf>
    <xf numFmtId="1" fontId="12" fillId="0" borderId="43" xfId="0" applyNumberFormat="1" applyFont="1" applyBorder="1" applyProtection="1">
      <protection locked="0"/>
    </xf>
    <xf numFmtId="164" fontId="12" fillId="0" borderId="23" xfId="0" applyNumberFormat="1" applyFont="1" applyBorder="1"/>
    <xf numFmtId="164" fontId="12" fillId="0" borderId="0" xfId="0" applyNumberFormat="1" applyFont="1" applyBorder="1"/>
    <xf numFmtId="164" fontId="12" fillId="0" borderId="77" xfId="0" applyNumberFormat="1" applyFont="1" applyBorder="1"/>
    <xf numFmtId="0" fontId="0" fillId="0" borderId="29" xfId="0" applyBorder="1"/>
    <xf numFmtId="0" fontId="0" fillId="0" borderId="59" xfId="0" applyBorder="1"/>
    <xf numFmtId="0" fontId="0" fillId="0" borderId="30" xfId="0" applyBorder="1"/>
    <xf numFmtId="0" fontId="0" fillId="0" borderId="71" xfId="0" applyBorder="1"/>
    <xf numFmtId="1" fontId="12" fillId="0" borderId="33" xfId="0" applyNumberFormat="1" applyFont="1" applyBorder="1" applyAlignment="1" applyProtection="1">
      <alignment horizontal="right" wrapText="1"/>
      <protection locked="0"/>
    </xf>
    <xf numFmtId="1" fontId="12" fillId="0" borderId="61" xfId="0" applyNumberFormat="1" applyFont="1" applyBorder="1" applyAlignment="1" applyProtection="1">
      <alignment horizontal="right" wrapText="1"/>
      <protection locked="0"/>
    </xf>
    <xf numFmtId="1" fontId="13" fillId="0" borderId="61" xfId="0" applyNumberFormat="1" applyFont="1" applyBorder="1" applyAlignment="1">
      <alignment wrapText="1"/>
    </xf>
    <xf numFmtId="1" fontId="13" fillId="0" borderId="34" xfId="0" applyNumberFormat="1" applyFont="1" applyFill="1" applyBorder="1" applyAlignment="1">
      <alignment wrapText="1"/>
    </xf>
    <xf numFmtId="1" fontId="11" fillId="0" borderId="11" xfId="0" applyNumberFormat="1" applyFont="1" applyBorder="1" applyAlignment="1">
      <alignment horizontal="right" wrapText="1"/>
    </xf>
    <xf numFmtId="1" fontId="10" fillId="2" borderId="7" xfId="0" applyNumberFormat="1" applyFont="1" applyFill="1" applyBorder="1" applyAlignment="1">
      <alignment horizontal="right" wrapText="1"/>
    </xf>
    <xf numFmtId="1" fontId="11" fillId="0" borderId="7" xfId="0" applyNumberFormat="1" applyFont="1" applyBorder="1" applyAlignment="1">
      <alignment wrapText="1"/>
    </xf>
    <xf numFmtId="1" fontId="11" fillId="0" borderId="9" xfId="0" applyNumberFormat="1" applyFont="1" applyFill="1" applyBorder="1" applyAlignment="1">
      <alignment wrapText="1"/>
    </xf>
    <xf numFmtId="1" fontId="12" fillId="0" borderId="24" xfId="0" applyNumberFormat="1" applyFont="1" applyBorder="1" applyAlignment="1" applyProtection="1">
      <alignment horizontal="right"/>
      <protection locked="0"/>
    </xf>
    <xf numFmtId="1" fontId="12" fillId="0" borderId="51" xfId="0" applyNumberFormat="1" applyFont="1" applyBorder="1" applyProtection="1">
      <protection locked="0"/>
    </xf>
    <xf numFmtId="1" fontId="10" fillId="0" borderId="13" xfId="0" applyNumberFormat="1" applyFont="1" applyBorder="1" applyAlignment="1">
      <alignment horizontal="center" wrapText="1"/>
    </xf>
    <xf numFmtId="1" fontId="12" fillId="0" borderId="72" xfId="0" applyNumberFormat="1" applyFont="1" applyBorder="1" applyAlignment="1" applyProtection="1">
      <alignment horizontal="right" wrapText="1"/>
      <protection locked="0"/>
    </xf>
    <xf numFmtId="1" fontId="10" fillId="0" borderId="31" xfId="0" applyNumberFormat="1" applyFont="1" applyBorder="1" applyAlignment="1">
      <alignment horizontal="right"/>
    </xf>
    <xf numFmtId="0" fontId="0" fillId="0" borderId="24" xfId="0" applyBorder="1"/>
    <xf numFmtId="0" fontId="0" fillId="0" borderId="70" xfId="0" applyBorder="1"/>
    <xf numFmtId="1" fontId="12" fillId="4" borderId="57" xfId="0" applyNumberFormat="1" applyFont="1" applyFill="1" applyBorder="1"/>
    <xf numFmtId="0" fontId="12" fillId="4" borderId="53" xfId="0" applyFont="1" applyFill="1" applyBorder="1"/>
    <xf numFmtId="0" fontId="12" fillId="4" borderId="64" xfId="0" applyFont="1" applyFill="1" applyBorder="1"/>
    <xf numFmtId="164" fontId="12" fillId="4" borderId="49" xfId="0" applyNumberFormat="1" applyFont="1" applyFill="1" applyBorder="1"/>
    <xf numFmtId="1" fontId="12" fillId="4" borderId="59" xfId="0" applyNumberFormat="1" applyFont="1" applyFill="1" applyBorder="1"/>
    <xf numFmtId="0" fontId="12" fillId="4" borderId="48" xfId="0" applyFont="1" applyFill="1" applyBorder="1"/>
    <xf numFmtId="0" fontId="12" fillId="4" borderId="47" xfId="0" applyFont="1" applyFill="1" applyBorder="1"/>
    <xf numFmtId="164" fontId="12" fillId="4" borderId="44" xfId="0" applyNumberFormat="1" applyFont="1" applyFill="1" applyBorder="1"/>
    <xf numFmtId="1" fontId="12" fillId="4" borderId="55" xfId="0" applyNumberFormat="1" applyFont="1" applyFill="1" applyBorder="1"/>
    <xf numFmtId="0" fontId="12" fillId="4" borderId="27" xfId="0" applyFont="1" applyFill="1" applyBorder="1"/>
    <xf numFmtId="0" fontId="12" fillId="4" borderId="0" xfId="0" applyFont="1" applyFill="1" applyBorder="1"/>
    <xf numFmtId="0" fontId="20" fillId="4" borderId="53" xfId="0" applyFont="1" applyFill="1" applyBorder="1"/>
    <xf numFmtId="0" fontId="20" fillId="4" borderId="64" xfId="0" applyFont="1" applyFill="1" applyBorder="1"/>
    <xf numFmtId="164" fontId="20" fillId="4" borderId="49" xfId="0" applyNumberFormat="1" applyFont="1" applyFill="1" applyBorder="1"/>
    <xf numFmtId="0" fontId="20" fillId="4" borderId="48" xfId="0" applyFont="1" applyFill="1" applyBorder="1"/>
    <xf numFmtId="0" fontId="20" fillId="4" borderId="47" xfId="0" applyFont="1" applyFill="1" applyBorder="1"/>
    <xf numFmtId="164" fontId="20" fillId="4" borderId="44" xfId="0" applyNumberFormat="1" applyFont="1" applyFill="1" applyBorder="1"/>
    <xf numFmtId="0" fontId="20" fillId="4" borderId="27" xfId="0" applyFont="1" applyFill="1" applyBorder="1"/>
    <xf numFmtId="0" fontId="20" fillId="4" borderId="0" xfId="0" applyFont="1" applyFill="1" applyBorder="1"/>
    <xf numFmtId="1" fontId="12" fillId="0" borderId="17" xfId="0" applyNumberFormat="1" applyFont="1" applyBorder="1" applyAlignment="1" applyProtection="1">
      <alignment horizontal="right" wrapText="1"/>
      <protection locked="0"/>
    </xf>
    <xf numFmtId="1" fontId="12" fillId="0" borderId="73" xfId="0" applyNumberFormat="1" applyFont="1" applyBorder="1" applyAlignment="1">
      <alignment horizontal="left"/>
    </xf>
    <xf numFmtId="1" fontId="12" fillId="0" borderId="74" xfId="0" applyNumberFormat="1" applyFont="1" applyBorder="1" applyAlignment="1">
      <alignment horizontal="left"/>
    </xf>
    <xf numFmtId="1" fontId="13" fillId="0" borderId="59" xfId="0" applyNumberFormat="1" applyFont="1" applyBorder="1" applyAlignment="1">
      <alignment wrapText="1"/>
    </xf>
    <xf numFmtId="1" fontId="12" fillId="0" borderId="59" xfId="0" applyNumberFormat="1" applyFont="1" applyBorder="1" applyAlignment="1" applyProtection="1">
      <alignment horizontal="right"/>
      <protection locked="0"/>
    </xf>
    <xf numFmtId="1" fontId="12" fillId="0" borderId="72" xfId="0" applyNumberFormat="1" applyFont="1" applyBorder="1" applyAlignment="1" applyProtection="1">
      <alignment horizontal="right"/>
      <protection locked="0"/>
    </xf>
    <xf numFmtId="1" fontId="12" fillId="0" borderId="26" xfId="0" applyNumberFormat="1" applyFont="1" applyBorder="1" applyAlignment="1" applyProtection="1">
      <alignment horizontal="right"/>
      <protection locked="0"/>
    </xf>
    <xf numFmtId="1" fontId="12" fillId="0" borderId="30" xfId="0" applyNumberFormat="1" applyFont="1" applyBorder="1" applyAlignment="1" applyProtection="1">
      <alignment horizontal="right"/>
      <protection locked="0"/>
    </xf>
    <xf numFmtId="1" fontId="12" fillId="0" borderId="71" xfId="0" applyNumberFormat="1" applyFont="1" applyBorder="1" applyAlignment="1" applyProtection="1">
      <alignment horizontal="right"/>
      <protection locked="0"/>
    </xf>
    <xf numFmtId="1" fontId="10" fillId="0" borderId="57" xfId="0" applyNumberFormat="1" applyFont="1" applyFill="1" applyBorder="1" applyAlignment="1">
      <alignment horizontal="right" wrapText="1"/>
    </xf>
    <xf numFmtId="1" fontId="13" fillId="0" borderId="42" xfId="0" applyNumberFormat="1" applyFont="1" applyBorder="1" applyAlignment="1">
      <alignment wrapText="1"/>
    </xf>
    <xf numFmtId="1" fontId="13" fillId="0" borderId="50" xfId="0" applyNumberFormat="1" applyFont="1" applyFill="1" applyBorder="1" applyAlignment="1">
      <alignment wrapText="1"/>
    </xf>
    <xf numFmtId="1" fontId="13" fillId="0" borderId="70" xfId="0" applyNumberFormat="1" applyFont="1" applyFill="1" applyBorder="1" applyAlignment="1">
      <alignment wrapText="1"/>
    </xf>
    <xf numFmtId="1" fontId="12" fillId="0" borderId="50" xfId="0" applyNumberFormat="1" applyFont="1" applyBorder="1" applyAlignment="1" applyProtection="1">
      <alignment horizontal="right"/>
      <protection locked="0"/>
    </xf>
    <xf numFmtId="1" fontId="12" fillId="0" borderId="70" xfId="0" applyNumberFormat="1" applyFont="1" applyBorder="1" applyAlignment="1" applyProtection="1">
      <alignment horizontal="right"/>
      <protection locked="0"/>
    </xf>
    <xf numFmtId="164" fontId="12" fillId="0" borderId="73" xfId="0" applyNumberFormat="1" applyFont="1" applyBorder="1"/>
    <xf numFmtId="164" fontId="12" fillId="0" borderId="74" xfId="0" applyNumberFormat="1" applyFont="1" applyBorder="1"/>
    <xf numFmtId="0" fontId="10" fillId="0" borderId="29" xfId="0" applyFont="1" applyBorder="1"/>
    <xf numFmtId="0" fontId="10" fillId="0" borderId="13" xfId="0" applyFont="1" applyBorder="1"/>
    <xf numFmtId="0" fontId="12" fillId="0" borderId="25" xfId="0" applyFont="1" applyBorder="1"/>
    <xf numFmtId="0" fontId="12" fillId="0" borderId="72" xfId="0" applyFont="1" applyBorder="1"/>
    <xf numFmtId="0" fontId="12" fillId="0" borderId="43" xfId="0" applyFont="1" applyBorder="1"/>
    <xf numFmtId="1" fontId="10" fillId="0" borderId="45" xfId="0" applyNumberFormat="1" applyFont="1" applyBorder="1" applyAlignment="1">
      <alignment horizontal="center"/>
    </xf>
    <xf numFmtId="1" fontId="12" fillId="0" borderId="56" xfId="0" applyNumberFormat="1" applyFont="1" applyBorder="1" applyAlignment="1" applyProtection="1">
      <alignment horizontal="right" wrapText="1"/>
      <protection locked="0"/>
    </xf>
    <xf numFmtId="1" fontId="12" fillId="2" borderId="59" xfId="0" applyNumberFormat="1" applyFont="1" applyFill="1" applyBorder="1" applyAlignment="1" applyProtection="1">
      <alignment horizontal="right" wrapText="1"/>
      <protection locked="0"/>
    </xf>
    <xf numFmtId="1" fontId="12" fillId="2" borderId="42" xfId="0" applyNumberFormat="1" applyFont="1" applyFill="1" applyBorder="1" applyAlignment="1" applyProtection="1">
      <alignment horizontal="right"/>
      <protection locked="0"/>
    </xf>
    <xf numFmtId="164" fontId="12" fillId="0" borderId="25" xfId="0" applyNumberFormat="1" applyFont="1" applyBorder="1"/>
    <xf numFmtId="164" fontId="12" fillId="0" borderId="71" xfId="0" applyNumberFormat="1" applyFont="1" applyBorder="1"/>
    <xf numFmtId="164" fontId="12" fillId="0" borderId="43" xfId="0" applyNumberFormat="1" applyFont="1" applyBorder="1"/>
    <xf numFmtId="9" fontId="10" fillId="0" borderId="4" xfId="0" applyNumberFormat="1" applyFont="1" applyFill="1" applyBorder="1" applyAlignment="1">
      <alignment horizontal="right"/>
    </xf>
    <xf numFmtId="9" fontId="12" fillId="0" borderId="59" xfId="0" applyNumberFormat="1" applyFont="1" applyFill="1" applyBorder="1" applyAlignment="1" applyProtection="1">
      <alignment horizontal="right" wrapText="1"/>
      <protection locked="0"/>
    </xf>
    <xf numFmtId="9" fontId="12" fillId="0" borderId="22" xfId="0" applyNumberFormat="1" applyFont="1" applyFill="1" applyBorder="1" applyAlignment="1" applyProtection="1">
      <alignment horizontal="right" wrapText="1"/>
      <protection locked="0"/>
    </xf>
    <xf numFmtId="9" fontId="12" fillId="0" borderId="42" xfId="0" applyNumberFormat="1" applyFont="1" applyFill="1" applyBorder="1" applyAlignment="1" applyProtection="1">
      <alignment horizontal="right"/>
      <protection locked="0"/>
    </xf>
    <xf numFmtId="0" fontId="12" fillId="4" borderId="27" xfId="0" applyFont="1" applyFill="1" applyBorder="1" applyAlignment="1"/>
    <xf numFmtId="0" fontId="12" fillId="4" borderId="0" xfId="0" applyFont="1" applyFill="1" applyBorder="1" applyAlignment="1"/>
    <xf numFmtId="164" fontId="12" fillId="4" borderId="45" xfId="0" applyNumberFormat="1" applyFont="1" applyFill="1" applyBorder="1"/>
    <xf numFmtId="0" fontId="12" fillId="4" borderId="48" xfId="0" applyFont="1" applyFill="1" applyBorder="1" applyAlignment="1"/>
    <xf numFmtId="0" fontId="12" fillId="4" borderId="47" xfId="0" applyFont="1" applyFill="1" applyBorder="1" applyAlignment="1"/>
    <xf numFmtId="1" fontId="12" fillId="4" borderId="41" xfId="0" applyNumberFormat="1" applyFont="1" applyFill="1" applyBorder="1"/>
    <xf numFmtId="0" fontId="12" fillId="4" borderId="53" xfId="0" applyFont="1" applyFill="1" applyBorder="1" applyAlignment="1"/>
    <xf numFmtId="0" fontId="12" fillId="4" borderId="64" xfId="0" applyFont="1" applyFill="1" applyBorder="1" applyAlignment="1"/>
    <xf numFmtId="164" fontId="12" fillId="4" borderId="46" xfId="0" applyNumberFormat="1" applyFont="1" applyFill="1" applyBorder="1"/>
    <xf numFmtId="1" fontId="10" fillId="4" borderId="11" xfId="0" applyNumberFormat="1" applyFont="1" applyFill="1" applyBorder="1"/>
    <xf numFmtId="0" fontId="10" fillId="4" borderId="7" xfId="0" applyFont="1" applyFill="1" applyBorder="1"/>
    <xf numFmtId="0" fontId="10" fillId="4" borderId="9" xfId="0" applyFont="1" applyFill="1" applyBorder="1"/>
    <xf numFmtId="164" fontId="12" fillId="4" borderId="10" xfId="0" applyNumberFormat="1" applyFont="1" applyFill="1" applyBorder="1"/>
    <xf numFmtId="1" fontId="12" fillId="4" borderId="61" xfId="0" applyNumberFormat="1" applyFont="1" applyFill="1" applyBorder="1"/>
    <xf numFmtId="0" fontId="12" fillId="4" borderId="33" xfId="0" applyFont="1" applyFill="1" applyBorder="1" applyAlignment="1"/>
    <xf numFmtId="0" fontId="12" fillId="4" borderId="66" xfId="0" applyFont="1" applyFill="1" applyBorder="1" applyAlignment="1"/>
    <xf numFmtId="164" fontId="12" fillId="4" borderId="37" xfId="0" applyNumberFormat="1" applyFont="1" applyFill="1" applyBorder="1"/>
    <xf numFmtId="1" fontId="12" fillId="4" borderId="33" xfId="0" applyNumberFormat="1" applyFont="1" applyFill="1" applyBorder="1" applyAlignment="1"/>
    <xf numFmtId="1" fontId="12" fillId="4" borderId="48" xfId="0" applyNumberFormat="1" applyFont="1" applyFill="1" applyBorder="1" applyAlignment="1"/>
    <xf numFmtId="1" fontId="12" fillId="4" borderId="27" xfId="0" applyNumberFormat="1" applyFont="1" applyFill="1" applyBorder="1" applyAlignment="1"/>
    <xf numFmtId="164" fontId="10" fillId="4" borderId="10" xfId="0" applyNumberFormat="1" applyFont="1" applyFill="1" applyBorder="1"/>
    <xf numFmtId="1" fontId="12" fillId="0" borderId="15" xfId="0" applyNumberFormat="1" applyFont="1" applyBorder="1" applyAlignment="1">
      <alignment horizontal="left"/>
    </xf>
    <xf numFmtId="9" fontId="10" fillId="2" borderId="6" xfId="0" applyNumberFormat="1" applyFont="1" applyFill="1" applyBorder="1" applyAlignment="1">
      <alignment horizontal="right"/>
    </xf>
    <xf numFmtId="9" fontId="10" fillId="0" borderId="5" xfId="0" applyNumberFormat="1" applyFont="1" applyBorder="1" applyAlignment="1">
      <alignment horizontal="right"/>
    </xf>
    <xf numFmtId="9" fontId="10" fillId="0" borderId="69" xfId="0" applyNumberFormat="1" applyFont="1" applyBorder="1" applyAlignment="1">
      <alignment horizontal="right"/>
    </xf>
    <xf numFmtId="1" fontId="12" fillId="0" borderId="19" xfId="0" applyNumberFormat="1" applyFont="1" applyBorder="1" applyAlignment="1">
      <alignment horizontal="left" wrapText="1"/>
    </xf>
    <xf numFmtId="0" fontId="12" fillId="0" borderId="63" xfId="1" applyFont="1" applyBorder="1"/>
    <xf numFmtId="1" fontId="10" fillId="0" borderId="8" xfId="0" applyNumberFormat="1" applyFont="1" applyBorder="1" applyAlignment="1"/>
    <xf numFmtId="0" fontId="12" fillId="0" borderId="41" xfId="0" applyFont="1" applyBorder="1" applyAlignment="1"/>
    <xf numFmtId="1" fontId="12" fillId="0" borderId="34" xfId="0" applyNumberFormat="1" applyFont="1" applyBorder="1"/>
    <xf numFmtId="1" fontId="12" fillId="0" borderId="50" xfId="0" applyNumberFormat="1" applyFont="1" applyBorder="1"/>
    <xf numFmtId="1" fontId="12" fillId="0" borderId="51" xfId="0" applyNumberFormat="1" applyFont="1" applyBorder="1"/>
    <xf numFmtId="0" fontId="12" fillId="0" borderId="47" xfId="0" applyFont="1" applyBorder="1" applyAlignment="1"/>
    <xf numFmtId="3" fontId="21" fillId="0" borderId="9" xfId="0" applyNumberFormat="1" applyFont="1" applyBorder="1" applyAlignment="1">
      <alignment wrapText="1"/>
    </xf>
    <xf numFmtId="164" fontId="12" fillId="0" borderId="63" xfId="0" applyNumberFormat="1" applyFont="1" applyBorder="1"/>
    <xf numFmtId="164" fontId="12" fillId="0" borderId="59" xfId="0" applyNumberFormat="1" applyFont="1" applyBorder="1"/>
    <xf numFmtId="1" fontId="12" fillId="2" borderId="59" xfId="0" applyNumberFormat="1" applyFont="1" applyFill="1" applyBorder="1" applyAlignment="1" applyProtection="1">
      <alignment horizontal="right"/>
      <protection locked="0"/>
    </xf>
    <xf numFmtId="1" fontId="12" fillId="0" borderId="59" xfId="0" applyNumberFormat="1" applyFont="1" applyBorder="1" applyProtection="1">
      <protection locked="0"/>
    </xf>
    <xf numFmtId="1" fontId="0" fillId="0" borderId="42" xfId="0" applyNumberFormat="1" applyBorder="1"/>
    <xf numFmtId="1" fontId="10" fillId="0" borderId="54" xfId="0" applyNumberFormat="1" applyFont="1" applyBorder="1" applyAlignment="1">
      <alignment horizontal="center" wrapText="1"/>
    </xf>
    <xf numFmtId="164" fontId="10" fillId="0" borderId="39" xfId="0" applyNumberFormat="1" applyFont="1" applyBorder="1"/>
    <xf numFmtId="1" fontId="0" fillId="0" borderId="72" xfId="0" applyNumberFormat="1" applyBorder="1"/>
    <xf numFmtId="1" fontId="0" fillId="0" borderId="43" xfId="0" applyNumberFormat="1" applyBorder="1"/>
    <xf numFmtId="1" fontId="11" fillId="0" borderId="45" xfId="0" applyNumberFormat="1" applyFont="1" applyBorder="1" applyAlignment="1">
      <alignment horizontal="center" wrapText="1"/>
    </xf>
    <xf numFmtId="9" fontId="10" fillId="0" borderId="20" xfId="0" applyNumberFormat="1" applyFont="1" applyFill="1" applyBorder="1" applyAlignment="1">
      <alignment horizontal="right"/>
    </xf>
    <xf numFmtId="9" fontId="10" fillId="0" borderId="5" xfId="0" applyNumberFormat="1" applyFont="1" applyFill="1" applyBorder="1" applyAlignment="1">
      <alignment horizontal="right"/>
    </xf>
    <xf numFmtId="9" fontId="10" fillId="0" borderId="69" xfId="0" applyNumberFormat="1" applyFont="1" applyFill="1" applyBorder="1" applyAlignment="1">
      <alignment horizontal="right"/>
    </xf>
    <xf numFmtId="9" fontId="10" fillId="0" borderId="31" xfId="0" applyNumberFormat="1" applyFont="1" applyFill="1" applyBorder="1" applyAlignment="1">
      <alignment horizontal="right"/>
    </xf>
    <xf numFmtId="1" fontId="12" fillId="0" borderId="58" xfId="0" applyNumberFormat="1" applyFont="1" applyBorder="1"/>
    <xf numFmtId="1" fontId="10" fillId="2" borderId="57" xfId="0" applyNumberFormat="1" applyFont="1" applyFill="1" applyBorder="1" applyAlignment="1">
      <alignment horizontal="right" wrapText="1"/>
    </xf>
    <xf numFmtId="3" fontId="20" fillId="0" borderId="24" xfId="0" applyNumberFormat="1" applyFont="1" applyBorder="1" applyAlignment="1">
      <alignment wrapText="1"/>
    </xf>
    <xf numFmtId="1" fontId="12" fillId="0" borderId="30" xfId="0" applyNumberFormat="1" applyFont="1" applyBorder="1" applyProtection="1">
      <protection locked="0"/>
    </xf>
    <xf numFmtId="164" fontId="12" fillId="0" borderId="24" xfId="0" applyNumberFormat="1" applyFont="1" applyBorder="1"/>
    <xf numFmtId="164" fontId="12" fillId="0" borderId="50" xfId="0" applyNumberFormat="1" applyFont="1" applyBorder="1"/>
    <xf numFmtId="164" fontId="12" fillId="0" borderId="70" xfId="0" applyNumberFormat="1" applyFont="1" applyBorder="1"/>
    <xf numFmtId="0" fontId="27" fillId="0" borderId="59" xfId="0" applyNumberFormat="1" applyFont="1" applyFill="1" applyBorder="1" applyAlignment="1" applyProtection="1"/>
    <xf numFmtId="1" fontId="10" fillId="0" borderId="2" xfId="0" applyNumberFormat="1" applyFont="1" applyBorder="1"/>
    <xf numFmtId="46" fontId="20" fillId="0" borderId="21" xfId="0" applyNumberFormat="1" applyFont="1" applyBorder="1" applyAlignment="1">
      <alignment horizontal="left" wrapText="1"/>
    </xf>
    <xf numFmtId="46" fontId="20" fillId="0" borderId="73" xfId="0" applyNumberFormat="1" applyFont="1" applyBorder="1" applyAlignment="1">
      <alignment horizontal="left" wrapText="1"/>
    </xf>
    <xf numFmtId="46" fontId="20" fillId="0" borderId="78" xfId="0" applyNumberFormat="1" applyFont="1" applyBorder="1" applyAlignment="1">
      <alignment horizontal="left" wrapText="1"/>
    </xf>
    <xf numFmtId="1" fontId="21" fillId="0" borderId="29" xfId="0" applyNumberFormat="1" applyFont="1" applyBorder="1" applyAlignment="1">
      <alignment horizontal="center" wrapText="1"/>
    </xf>
    <xf numFmtId="1" fontId="21" fillId="0" borderId="57" xfId="0" applyNumberFormat="1" applyFont="1" applyBorder="1" applyAlignment="1">
      <alignment horizontal="center" wrapText="1"/>
    </xf>
    <xf numFmtId="1" fontId="21" fillId="0" borderId="13" xfId="0" applyNumberFormat="1" applyFont="1" applyBorder="1" applyAlignment="1">
      <alignment horizontal="center" wrapText="1"/>
    </xf>
    <xf numFmtId="1" fontId="20" fillId="4" borderId="13" xfId="0" applyNumberFormat="1" applyFont="1" applyFill="1" applyBorder="1"/>
    <xf numFmtId="1" fontId="20" fillId="4" borderId="48" xfId="0" applyNumberFormat="1" applyFont="1" applyFill="1" applyBorder="1"/>
    <xf numFmtId="1" fontId="20" fillId="4" borderId="27" xfId="0" applyNumberFormat="1" applyFont="1" applyFill="1" applyBorder="1"/>
    <xf numFmtId="1" fontId="20" fillId="0" borderId="26" xfId="0" applyNumberFormat="1" applyFont="1" applyBorder="1"/>
    <xf numFmtId="1" fontId="20" fillId="0" borderId="22" xfId="0" applyNumberFormat="1" applyFont="1" applyBorder="1"/>
    <xf numFmtId="1" fontId="20" fillId="0" borderId="72" xfId="0" applyNumberFormat="1" applyFont="1" applyBorder="1"/>
    <xf numFmtId="1" fontId="20" fillId="0" borderId="42" xfId="0" applyNumberFormat="1" applyFont="1" applyBorder="1"/>
    <xf numFmtId="1" fontId="20" fillId="0" borderId="24" xfId="0" applyNumberFormat="1" applyFont="1" applyBorder="1"/>
    <xf numFmtId="1" fontId="20" fillId="0" borderId="50" xfId="0" applyNumberFormat="1" applyFont="1" applyBorder="1"/>
    <xf numFmtId="1" fontId="20" fillId="0" borderId="70" xfId="0" applyNumberFormat="1" applyFont="1" applyBorder="1"/>
    <xf numFmtId="1" fontId="21" fillId="0" borderId="8" xfId="0" applyNumberFormat="1" applyFont="1" applyBorder="1"/>
    <xf numFmtId="1" fontId="11" fillId="0" borderId="10" xfId="0" applyNumberFormat="1" applyFont="1" applyBorder="1" applyAlignment="1">
      <alignment horizontal="center" wrapText="1"/>
    </xf>
    <xf numFmtId="1" fontId="10" fillId="0" borderId="20" xfId="0" applyNumberFormat="1" applyFont="1" applyBorder="1" applyAlignment="1">
      <alignment horizontal="right"/>
    </xf>
    <xf numFmtId="1" fontId="10" fillId="0" borderId="5" xfId="0" applyNumberFormat="1" applyFont="1" applyBorder="1" applyAlignment="1">
      <alignment horizontal="right"/>
    </xf>
    <xf numFmtId="1" fontId="12" fillId="0" borderId="72" xfId="0" applyNumberFormat="1" applyFont="1" applyBorder="1" applyAlignment="1" applyProtection="1">
      <protection locked="0"/>
    </xf>
    <xf numFmtId="1" fontId="12" fillId="0" borderId="42" xfId="0" applyNumberFormat="1" applyFont="1" applyBorder="1" applyAlignment="1" applyProtection="1">
      <protection locked="0"/>
    </xf>
    <xf numFmtId="1" fontId="13" fillId="0" borderId="43" xfId="0" applyNumberFormat="1" applyFont="1" applyBorder="1" applyAlignment="1">
      <alignment wrapText="1"/>
    </xf>
    <xf numFmtId="1" fontId="10" fillId="0" borderId="1" xfId="0" applyNumberFormat="1" applyFont="1" applyBorder="1"/>
    <xf numFmtId="1" fontId="12" fillId="0" borderId="32" xfId="0" applyNumberFormat="1" applyFont="1" applyBorder="1" applyAlignment="1" applyProtection="1">
      <alignment wrapText="1"/>
      <protection locked="0"/>
    </xf>
    <xf numFmtId="1" fontId="12" fillId="0" borderId="61" xfId="0" applyNumberFormat="1" applyFont="1" applyBorder="1" applyAlignment="1" applyProtection="1">
      <alignment wrapText="1"/>
      <protection locked="0"/>
    </xf>
    <xf numFmtId="1" fontId="13" fillId="0" borderId="79" xfId="0" applyNumberFormat="1" applyFont="1" applyBorder="1" applyAlignment="1">
      <alignment wrapText="1"/>
    </xf>
    <xf numFmtId="1" fontId="11" fillId="0" borderId="31" xfId="0" applyNumberFormat="1" applyFont="1" applyBorder="1" applyAlignment="1">
      <alignment wrapText="1"/>
    </xf>
    <xf numFmtId="1" fontId="11" fillId="0" borderId="60" xfId="0" applyNumberFormat="1" applyFont="1" applyBorder="1" applyAlignment="1">
      <alignment wrapText="1"/>
    </xf>
    <xf numFmtId="1" fontId="10" fillId="0" borderId="60" xfId="0" applyNumberFormat="1" applyFont="1" applyFill="1" applyBorder="1" applyAlignment="1">
      <alignment horizontal="right" wrapText="1"/>
    </xf>
    <xf numFmtId="1" fontId="11" fillId="0" borderId="20" xfId="0" applyNumberFormat="1" applyFont="1" applyBorder="1" applyAlignment="1">
      <alignment wrapText="1"/>
    </xf>
    <xf numFmtId="1" fontId="12" fillId="0" borderId="22" xfId="0" applyNumberFormat="1" applyFont="1" applyBorder="1" applyAlignment="1">
      <alignment horizontal="right"/>
    </xf>
    <xf numFmtId="1" fontId="12" fillId="0" borderId="25" xfId="0" applyNumberFormat="1" applyFont="1" applyBorder="1" applyAlignment="1">
      <alignment horizontal="right"/>
    </xf>
    <xf numFmtId="1" fontId="12" fillId="0" borderId="72" xfId="0" applyNumberFormat="1" applyFont="1" applyBorder="1" applyAlignment="1">
      <alignment horizontal="right"/>
    </xf>
    <xf numFmtId="1" fontId="12" fillId="0" borderId="42" xfId="0" applyNumberFormat="1" applyFont="1" applyBorder="1" applyAlignment="1">
      <alignment horizontal="right"/>
    </xf>
    <xf numFmtId="1" fontId="0" fillId="0" borderId="42" xfId="0" applyNumberFormat="1" applyFont="1" applyBorder="1"/>
    <xf numFmtId="1" fontId="0" fillId="0" borderId="43" xfId="0" applyNumberFormat="1" applyFont="1" applyBorder="1"/>
    <xf numFmtId="1" fontId="13" fillId="0" borderId="72" xfId="0" applyNumberFormat="1" applyFont="1" applyBorder="1" applyAlignment="1">
      <alignment horizontal="right" wrapText="1"/>
    </xf>
    <xf numFmtId="1" fontId="13" fillId="0" borderId="42" xfId="0" applyNumberFormat="1" applyFont="1" applyBorder="1" applyAlignment="1">
      <alignment horizontal="right" wrapText="1"/>
    </xf>
    <xf numFmtId="1" fontId="12" fillId="0" borderId="43" xfId="0" applyNumberFormat="1" applyFont="1" applyBorder="1" applyAlignment="1">
      <alignment horizontal="right"/>
    </xf>
    <xf numFmtId="9" fontId="10" fillId="0" borderId="19" xfId="0" applyNumberFormat="1" applyFont="1" applyBorder="1" applyAlignment="1">
      <alignment horizontal="right"/>
    </xf>
    <xf numFmtId="1" fontId="12" fillId="0" borderId="37" xfId="0" applyNumberFormat="1" applyFont="1" applyBorder="1" applyAlignment="1" applyProtection="1">
      <alignment horizontal="right"/>
      <protection locked="0"/>
    </xf>
    <xf numFmtId="9" fontId="12" fillId="0" borderId="52" xfId="0" applyNumberFormat="1" applyFont="1" applyBorder="1" applyAlignment="1" applyProtection="1">
      <alignment horizontal="right"/>
      <protection locked="0"/>
    </xf>
    <xf numFmtId="9" fontId="12" fillId="0" borderId="41" xfId="0" applyNumberFormat="1" applyFont="1" applyBorder="1" applyAlignment="1" applyProtection="1">
      <alignment horizontal="right"/>
      <protection locked="0"/>
    </xf>
    <xf numFmtId="9" fontId="12" fillId="2" borderId="41" xfId="0" applyNumberFormat="1" applyFont="1" applyFill="1" applyBorder="1" applyAlignment="1" applyProtection="1">
      <alignment horizontal="right"/>
      <protection locked="0"/>
    </xf>
    <xf numFmtId="9" fontId="12" fillId="0" borderId="35" xfId="0" applyNumberFormat="1" applyFont="1" applyBorder="1" applyAlignment="1" applyProtection="1">
      <alignment horizontal="right"/>
      <protection locked="0"/>
    </xf>
    <xf numFmtId="9" fontId="10" fillId="2" borderId="7" xfId="0" applyNumberFormat="1" applyFont="1" applyFill="1" applyBorder="1" applyAlignment="1">
      <alignment horizontal="right"/>
    </xf>
    <xf numFmtId="1" fontId="12" fillId="0" borderId="48" xfId="0" applyNumberFormat="1" applyFont="1" applyBorder="1" applyAlignment="1" applyProtection="1">
      <alignment horizontal="right"/>
      <protection locked="0"/>
    </xf>
    <xf numFmtId="1" fontId="13" fillId="0" borderId="71" xfId="0" applyNumberFormat="1" applyFont="1" applyFill="1" applyBorder="1" applyAlignment="1">
      <alignment wrapText="1"/>
    </xf>
    <xf numFmtId="1" fontId="13" fillId="0" borderId="43" xfId="0" applyNumberFormat="1" applyFont="1" applyFill="1" applyBorder="1" applyAlignment="1">
      <alignment wrapText="1"/>
    </xf>
    <xf numFmtId="1" fontId="6" fillId="0" borderId="0" xfId="0" applyNumberFormat="1" applyFont="1" applyBorder="1" applyAlignment="1">
      <alignment horizontal="center"/>
    </xf>
    <xf numFmtId="1" fontId="23" fillId="0" borderId="1" xfId="0" applyNumberFormat="1" applyFont="1" applyBorder="1" applyAlignment="1">
      <alignment horizontal="center"/>
    </xf>
    <xf numFmtId="1" fontId="23" fillId="0" borderId="2" xfId="0" applyNumberFormat="1" applyFont="1" applyBorder="1" applyAlignment="1">
      <alignment horizontal="center"/>
    </xf>
    <xf numFmtId="1" fontId="23" fillId="0" borderId="3" xfId="0" applyNumberFormat="1" applyFont="1" applyBorder="1" applyAlignment="1">
      <alignment horizontal="center"/>
    </xf>
    <xf numFmtId="1" fontId="25" fillId="0" borderId="2" xfId="0" applyNumberFormat="1" applyFont="1" applyBorder="1" applyAlignment="1">
      <alignment horizontal="center"/>
    </xf>
    <xf numFmtId="1" fontId="25" fillId="0" borderId="3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2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6" fillId="0" borderId="58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54" xfId="0" applyNumberFormat="1" applyFont="1" applyBorder="1" applyAlignment="1">
      <alignment horizontal="center"/>
    </xf>
    <xf numFmtId="1" fontId="16" fillId="0" borderId="1" xfId="0" applyNumberFormat="1" applyFont="1" applyBorder="1" applyAlignment="1" applyProtection="1">
      <alignment horizontal="left"/>
      <protection locked="0"/>
    </xf>
    <xf numFmtId="1" fontId="16" fillId="0" borderId="2" xfId="0" applyNumberFormat="1" applyFont="1" applyBorder="1" applyAlignment="1" applyProtection="1">
      <alignment horizontal="left"/>
      <protection locked="0"/>
    </xf>
    <xf numFmtId="1" fontId="16" fillId="0" borderId="3" xfId="0" applyNumberFormat="1" applyFont="1" applyBorder="1" applyAlignment="1" applyProtection="1">
      <alignment horizontal="left"/>
      <protection locked="0"/>
    </xf>
    <xf numFmtId="0" fontId="0" fillId="0" borderId="4" xfId="0" applyBorder="1" applyAlignment="1">
      <alignment horizontal="center"/>
    </xf>
    <xf numFmtId="0" fontId="0" fillId="0" borderId="4" xfId="0" applyBorder="1" applyAlignment="1"/>
    <xf numFmtId="1" fontId="6" fillId="0" borderId="6" xfId="0" applyNumberFormat="1" applyFont="1" applyBorder="1" applyAlignment="1">
      <alignment horizontal="center"/>
    </xf>
    <xf numFmtId="1" fontId="6" fillId="0" borderId="39" xfId="0" applyNumberFormat="1" applyFont="1" applyBorder="1" applyAlignment="1">
      <alignment horizontal="center"/>
    </xf>
    <xf numFmtId="1" fontId="23" fillId="0" borderId="4" xfId="0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0" fillId="0" borderId="0" xfId="0" applyAlignment="1"/>
    <xf numFmtId="0" fontId="0" fillId="0" borderId="2" xfId="0" applyBorder="1"/>
    <xf numFmtId="0" fontId="0" fillId="0" borderId="3" xfId="0" applyBorder="1"/>
  </cellXfs>
  <cellStyles count="2">
    <cellStyle name="Normal" xfId="0" builtinId="0"/>
    <cellStyle name="Normal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7"/>
  <sheetViews>
    <sheetView zoomScaleNormal="100" workbookViewId="0">
      <selection activeCell="T110" sqref="T110"/>
    </sheetView>
  </sheetViews>
  <sheetFormatPr defaultRowHeight="12.75" x14ac:dyDescent="0.2"/>
  <cols>
    <col min="1" max="1" width="29.85546875" customWidth="1"/>
    <col min="2" max="3" width="9.140625" customWidth="1"/>
    <col min="4" max="4" width="11" customWidth="1"/>
    <col min="5" max="5" width="9.140625" customWidth="1"/>
    <col min="6" max="6" width="10.7109375" customWidth="1"/>
    <col min="7" max="7" width="11.42578125" customWidth="1"/>
    <col min="8" max="9" width="9.140625" customWidth="1"/>
    <col min="12" max="12" width="8.5703125" customWidth="1"/>
    <col min="20" max="20" width="28.42578125" bestFit="1" customWidth="1"/>
  </cols>
  <sheetData>
    <row r="1" spans="1:17" ht="26.25" x14ac:dyDescent="0.4">
      <c r="A1" s="85" t="s">
        <v>72</v>
      </c>
      <c r="B1" s="44"/>
      <c r="C1" s="44"/>
      <c r="D1" s="44"/>
      <c r="E1" s="44"/>
      <c r="F1" s="44"/>
      <c r="G1" s="44"/>
    </row>
    <row r="2" spans="1:17" ht="15.75" customHeight="1" thickBot="1" x14ac:dyDescent="0.45">
      <c r="A2" s="2"/>
      <c r="B2" s="1"/>
      <c r="C2" s="3"/>
      <c r="D2" s="1"/>
      <c r="E2" s="1"/>
      <c r="F2" s="1"/>
      <c r="G2" s="1"/>
    </row>
    <row r="3" spans="1:17" ht="24" thickBot="1" x14ac:dyDescent="0.4">
      <c r="A3" s="45" t="s">
        <v>177</v>
      </c>
      <c r="B3" s="46"/>
      <c r="C3" s="46"/>
      <c r="D3" s="47"/>
      <c r="E3" s="48"/>
      <c r="F3" s="48"/>
      <c r="G3" s="48"/>
      <c r="H3" s="49"/>
      <c r="I3" s="49"/>
      <c r="J3" s="49"/>
      <c r="K3" s="49"/>
      <c r="L3" s="49"/>
      <c r="M3" s="50"/>
    </row>
    <row r="6" spans="1:17" ht="18" x14ac:dyDescent="0.25">
      <c r="A6" s="6" t="s">
        <v>9</v>
      </c>
    </row>
    <row r="7" spans="1:17" x14ac:dyDescent="0.2">
      <c r="A7" t="s">
        <v>10</v>
      </c>
    </row>
    <row r="10" spans="1:17" ht="15.75" x14ac:dyDescent="0.25">
      <c r="A10" s="637" t="s">
        <v>17</v>
      </c>
      <c r="B10" s="637"/>
      <c r="C10" s="637"/>
      <c r="D10" s="637"/>
      <c r="E10" s="637"/>
      <c r="F10" s="637"/>
      <c r="G10" s="637"/>
      <c r="H10" s="637"/>
      <c r="I10" s="637"/>
      <c r="J10" s="637"/>
      <c r="K10" s="637"/>
      <c r="L10" s="637"/>
      <c r="M10" s="637"/>
      <c r="N10" s="637"/>
      <c r="O10" s="637"/>
      <c r="P10" s="637"/>
      <c r="Q10" s="637"/>
    </row>
    <row r="11" spans="1:17" ht="16.5" thickBot="1" x14ac:dyDescent="0.3">
      <c r="A11" s="637" t="s">
        <v>16</v>
      </c>
      <c r="B11" s="637"/>
      <c r="C11" s="637"/>
      <c r="D11" s="637"/>
      <c r="E11" s="637"/>
      <c r="F11" s="637"/>
      <c r="G11" s="637"/>
      <c r="H11" s="637"/>
      <c r="I11" s="637"/>
      <c r="J11" s="637"/>
      <c r="K11" s="637"/>
      <c r="L11" s="637"/>
      <c r="M11" s="637"/>
      <c r="N11" s="637"/>
      <c r="O11" s="637"/>
      <c r="P11" s="637"/>
      <c r="Q11" s="637"/>
    </row>
    <row r="12" spans="1:17" ht="16.5" thickBot="1" x14ac:dyDescent="0.3">
      <c r="A12" s="165"/>
      <c r="B12" s="650" t="s">
        <v>75</v>
      </c>
      <c r="C12" s="651"/>
      <c r="D12" s="651"/>
      <c r="E12" s="651"/>
      <c r="F12" s="652"/>
      <c r="G12" s="647" t="s">
        <v>171</v>
      </c>
      <c r="H12" s="645"/>
      <c r="I12" s="645"/>
      <c r="J12" s="646"/>
      <c r="K12" s="647" t="s">
        <v>3</v>
      </c>
      <c r="L12" s="648"/>
      <c r="M12" s="648"/>
      <c r="N12" s="648"/>
      <c r="O12" s="648"/>
      <c r="P12" s="648"/>
      <c r="Q12" s="649"/>
    </row>
    <row r="13" spans="1:17" ht="60.75" thickBot="1" x14ac:dyDescent="0.25">
      <c r="A13" s="38"/>
      <c r="B13" s="359">
        <v>2008</v>
      </c>
      <c r="C13" s="368">
        <v>2009</v>
      </c>
      <c r="D13" s="368">
        <v>2010</v>
      </c>
      <c r="E13" s="368">
        <v>2011</v>
      </c>
      <c r="F13" s="401">
        <v>2012</v>
      </c>
      <c r="G13" s="148" t="s">
        <v>172</v>
      </c>
      <c r="H13" s="10" t="s">
        <v>76</v>
      </c>
      <c r="I13" s="18" t="s">
        <v>77</v>
      </c>
      <c r="J13" s="9" t="s">
        <v>0</v>
      </c>
      <c r="K13" s="10" t="s">
        <v>65</v>
      </c>
      <c r="L13" s="10" t="s">
        <v>66</v>
      </c>
      <c r="M13" s="10" t="s">
        <v>67</v>
      </c>
      <c r="N13" s="10" t="s">
        <v>68</v>
      </c>
      <c r="O13" s="10" t="s">
        <v>69</v>
      </c>
      <c r="P13" s="39" t="s">
        <v>70</v>
      </c>
      <c r="Q13" s="9" t="s">
        <v>71</v>
      </c>
    </row>
    <row r="14" spans="1:17" ht="13.5" thickBot="1" x14ac:dyDescent="0.25">
      <c r="A14" s="400" t="s">
        <v>1</v>
      </c>
      <c r="B14" s="402">
        <v>454</v>
      </c>
      <c r="C14" s="160">
        <v>255</v>
      </c>
      <c r="D14" s="403">
        <v>280.25</v>
      </c>
      <c r="E14" s="231">
        <v>334.25</v>
      </c>
      <c r="F14" s="404">
        <f>305+6.75+40</f>
        <v>351.75</v>
      </c>
      <c r="G14" s="158">
        <v>363.09</v>
      </c>
      <c r="H14" s="158">
        <v>382.2</v>
      </c>
      <c r="I14" s="235">
        <v>402.35999999999996</v>
      </c>
      <c r="J14" s="253">
        <f>RATE(4,,-C14,I14)</f>
        <v>0.12077556709150894</v>
      </c>
      <c r="K14" s="329">
        <v>377</v>
      </c>
      <c r="L14" s="329">
        <v>407</v>
      </c>
      <c r="M14" s="329">
        <v>440</v>
      </c>
      <c r="N14" s="329">
        <v>475</v>
      </c>
      <c r="O14" s="329">
        <v>513</v>
      </c>
      <c r="P14" s="330">
        <v>554</v>
      </c>
      <c r="Q14" s="11">
        <f>RATE(5,,-K14,P14)</f>
        <v>8.0024687705861533E-2</v>
      </c>
    </row>
    <row r="15" spans="1:17" x14ac:dyDescent="0.2">
      <c r="A15" s="40" t="s">
        <v>4</v>
      </c>
      <c r="B15" s="200">
        <v>1697</v>
      </c>
      <c r="C15" s="144">
        <v>1425</v>
      </c>
      <c r="D15" s="144">
        <v>1257.4169999999999</v>
      </c>
      <c r="E15" s="406">
        <v>1277.4169999999999</v>
      </c>
      <c r="F15" s="407">
        <f>5+1271.583</f>
        <v>1276.5830000000001</v>
      </c>
      <c r="G15" s="27">
        <v>1316</v>
      </c>
      <c r="H15" s="346">
        <v>1379</v>
      </c>
      <c r="I15" s="347">
        <v>1445</v>
      </c>
      <c r="J15" s="12">
        <f>RATE(4,,-C15,I15)</f>
        <v>3.4904544620456114E-3</v>
      </c>
      <c r="K15" s="90">
        <v>1483</v>
      </c>
      <c r="L15" s="138">
        <v>1561</v>
      </c>
      <c r="M15" s="138">
        <v>1625</v>
      </c>
      <c r="N15" s="138">
        <v>1666</v>
      </c>
      <c r="O15" s="138">
        <v>1699</v>
      </c>
      <c r="P15" s="342">
        <v>1736</v>
      </c>
      <c r="Q15" s="336">
        <f>RATE(5,,-K15,P15)</f>
        <v>3.2004792162930756E-2</v>
      </c>
    </row>
    <row r="16" spans="1:17" s="335" customFormat="1" x14ac:dyDescent="0.2">
      <c r="A16" s="366" t="s">
        <v>203</v>
      </c>
      <c r="B16" s="408"/>
      <c r="C16" s="333"/>
      <c r="D16" s="333"/>
      <c r="E16" s="405"/>
      <c r="F16" s="409"/>
      <c r="G16" s="354"/>
      <c r="H16" s="340"/>
      <c r="I16" s="348"/>
      <c r="J16" s="353"/>
      <c r="K16" s="351"/>
      <c r="L16" s="341"/>
      <c r="M16" s="419">
        <v>165</v>
      </c>
      <c r="N16" s="419">
        <v>318</v>
      </c>
      <c r="O16" s="419">
        <v>391</v>
      </c>
      <c r="P16" s="420">
        <v>500</v>
      </c>
      <c r="Q16" s="418"/>
    </row>
    <row r="17" spans="1:17" ht="13.5" thickBot="1" x14ac:dyDescent="0.25">
      <c r="A17" s="54" t="s">
        <v>5</v>
      </c>
      <c r="B17" s="410">
        <v>499</v>
      </c>
      <c r="C17" s="411">
        <v>462</v>
      </c>
      <c r="D17" s="411">
        <v>385.5</v>
      </c>
      <c r="E17" s="412">
        <v>529.75</v>
      </c>
      <c r="F17" s="413">
        <f>29.167+573.25</f>
        <v>602.41700000000003</v>
      </c>
      <c r="G17" s="143">
        <v>413</v>
      </c>
      <c r="H17" s="349">
        <v>441</v>
      </c>
      <c r="I17" s="350">
        <v>471</v>
      </c>
      <c r="J17" s="166">
        <f>RATE(4,,-C17,I17)</f>
        <v>4.8349515754434434E-3</v>
      </c>
      <c r="K17" s="352">
        <v>516</v>
      </c>
      <c r="L17" s="343">
        <v>543</v>
      </c>
      <c r="M17" s="343">
        <v>401</v>
      </c>
      <c r="N17" s="343">
        <v>265</v>
      </c>
      <c r="O17" s="343">
        <v>200</v>
      </c>
      <c r="P17" s="344">
        <v>105</v>
      </c>
      <c r="Q17" s="337">
        <f>RATE(5,,-K17,P17)</f>
        <v>-0.27270949210549045</v>
      </c>
    </row>
    <row r="18" spans="1:17" ht="13.5" thickBot="1" x14ac:dyDescent="0.25">
      <c r="A18" s="23" t="s">
        <v>2</v>
      </c>
      <c r="B18" s="26">
        <f>B15+B17</f>
        <v>2196</v>
      </c>
      <c r="C18" s="14">
        <f t="shared" ref="C18" si="0">C15+C17</f>
        <v>1887</v>
      </c>
      <c r="D18" s="14">
        <f>D15+D17</f>
        <v>1642.9169999999999</v>
      </c>
      <c r="E18" s="14">
        <f>E15+E17</f>
        <v>1807.1669999999999</v>
      </c>
      <c r="F18" s="414">
        <f>SUM(F15:F17)</f>
        <v>1879</v>
      </c>
      <c r="G18" s="338">
        <f>G15+G17</f>
        <v>1729</v>
      </c>
      <c r="H18" s="338">
        <f>H15+H17</f>
        <v>1820</v>
      </c>
      <c r="I18" s="394">
        <f>I15+I17</f>
        <v>1916</v>
      </c>
      <c r="J18" s="208">
        <f>RATE(4,,-C18,I18)</f>
        <v>3.8201314657864121E-3</v>
      </c>
      <c r="K18" s="338">
        <f t="shared" ref="K18" si="1">K15+K17</f>
        <v>1999</v>
      </c>
      <c r="L18" s="338">
        <v>2104</v>
      </c>
      <c r="M18" s="338">
        <f>SUM(M15:M17)</f>
        <v>2191</v>
      </c>
      <c r="N18" s="338">
        <f>SUM(N15:N17)</f>
        <v>2249</v>
      </c>
      <c r="O18" s="338">
        <f t="shared" ref="O18:P18" si="2">SUM(O15:O17)</f>
        <v>2290</v>
      </c>
      <c r="P18" s="338">
        <f t="shared" si="2"/>
        <v>2341</v>
      </c>
      <c r="Q18" s="11">
        <f>RATE(5,,-K18,P18)</f>
        <v>3.2090365400950907E-2</v>
      </c>
    </row>
    <row r="21" spans="1:17" ht="15.75" x14ac:dyDescent="0.25">
      <c r="A21" s="637" t="s">
        <v>18</v>
      </c>
      <c r="B21" s="637"/>
      <c r="C21" s="637"/>
      <c r="D21" s="637"/>
      <c r="E21" s="637"/>
      <c r="F21" s="637"/>
      <c r="G21" s="637"/>
      <c r="H21" s="637"/>
      <c r="I21" s="637"/>
      <c r="J21" s="637"/>
      <c r="K21" s="637"/>
      <c r="L21" s="637"/>
      <c r="M21" s="637"/>
      <c r="N21" s="637"/>
      <c r="O21" s="637"/>
      <c r="P21" s="637"/>
      <c r="Q21" s="637"/>
    </row>
    <row r="22" spans="1:17" ht="16.5" thickBot="1" x14ac:dyDescent="0.3">
      <c r="A22" s="637" t="s">
        <v>16</v>
      </c>
      <c r="B22" s="637"/>
      <c r="C22" s="637"/>
      <c r="D22" s="637"/>
      <c r="E22" s="637"/>
      <c r="F22" s="637"/>
      <c r="G22" s="637"/>
      <c r="H22" s="637"/>
      <c r="I22" s="637"/>
      <c r="J22" s="637"/>
      <c r="K22" s="637"/>
      <c r="L22" s="637"/>
      <c r="M22" s="637"/>
      <c r="N22" s="637"/>
      <c r="O22" s="637"/>
      <c r="P22" s="637"/>
      <c r="Q22" s="637"/>
    </row>
    <row r="23" spans="1:17" ht="27.75" customHeight="1" thickBot="1" x14ac:dyDescent="0.3">
      <c r="A23" s="103"/>
      <c r="B23" s="647" t="s">
        <v>178</v>
      </c>
      <c r="C23" s="645"/>
      <c r="D23" s="645"/>
      <c r="E23" s="646"/>
      <c r="F23" s="647" t="s">
        <v>171</v>
      </c>
      <c r="G23" s="645"/>
      <c r="H23" s="645"/>
      <c r="I23" s="646"/>
      <c r="J23" s="647" t="s">
        <v>3</v>
      </c>
      <c r="K23" s="648"/>
      <c r="L23" s="648"/>
      <c r="M23" s="648"/>
      <c r="N23" s="648"/>
      <c r="O23" s="648"/>
      <c r="P23" s="649"/>
    </row>
    <row r="24" spans="1:17" ht="60.75" thickBot="1" x14ac:dyDescent="0.25">
      <c r="A24" s="51"/>
      <c r="B24" s="88">
        <v>2010</v>
      </c>
      <c r="C24" s="7">
        <v>2011</v>
      </c>
      <c r="D24" s="314">
        <v>2012</v>
      </c>
      <c r="E24" s="9" t="s">
        <v>180</v>
      </c>
      <c r="F24" s="233" t="s">
        <v>172</v>
      </c>
      <c r="G24" s="10" t="s">
        <v>76</v>
      </c>
      <c r="H24" s="39" t="s">
        <v>77</v>
      </c>
      <c r="I24" s="9" t="s">
        <v>181</v>
      </c>
      <c r="J24" s="88" t="s">
        <v>65</v>
      </c>
      <c r="K24" s="10" t="s">
        <v>66</v>
      </c>
      <c r="L24" s="10" t="s">
        <v>67</v>
      </c>
      <c r="M24" s="10" t="s">
        <v>68</v>
      </c>
      <c r="N24" s="10" t="s">
        <v>69</v>
      </c>
      <c r="O24" s="39" t="s">
        <v>70</v>
      </c>
      <c r="P24" s="9" t="s">
        <v>71</v>
      </c>
    </row>
    <row r="25" spans="1:17" s="269" customFormat="1" ht="48" x14ac:dyDescent="0.2">
      <c r="A25" s="117" t="s">
        <v>78</v>
      </c>
      <c r="B25" s="296">
        <v>0</v>
      </c>
      <c r="C25" s="297">
        <v>0</v>
      </c>
      <c r="D25" s="315">
        <v>0</v>
      </c>
      <c r="E25" s="298">
        <v>0</v>
      </c>
      <c r="F25" s="296">
        <v>0</v>
      </c>
      <c r="G25" s="320"/>
      <c r="H25" s="321"/>
      <c r="I25" s="322"/>
      <c r="J25" s="286">
        <v>0</v>
      </c>
      <c r="K25" s="286">
        <v>0</v>
      </c>
      <c r="L25" s="286">
        <v>0</v>
      </c>
      <c r="M25" s="286">
        <v>0</v>
      </c>
      <c r="N25" s="286">
        <v>0</v>
      </c>
      <c r="O25" s="287">
        <v>0</v>
      </c>
      <c r="P25" s="298">
        <v>0</v>
      </c>
    </row>
    <row r="26" spans="1:17" s="269" customFormat="1" ht="24" x14ac:dyDescent="0.2">
      <c r="A26" s="118" t="s">
        <v>79</v>
      </c>
      <c r="B26" s="300">
        <v>0</v>
      </c>
      <c r="C26" s="301">
        <v>0</v>
      </c>
      <c r="D26" s="316">
        <v>0</v>
      </c>
      <c r="E26" s="285">
        <v>0</v>
      </c>
      <c r="F26" s="300">
        <v>0</v>
      </c>
      <c r="G26" s="323"/>
      <c r="H26" s="324"/>
      <c r="I26" s="325"/>
      <c r="J26" s="283">
        <v>0</v>
      </c>
      <c r="K26" s="283">
        <v>0</v>
      </c>
      <c r="L26" s="283">
        <v>0</v>
      </c>
      <c r="M26" s="283">
        <v>0</v>
      </c>
      <c r="N26" s="283">
        <v>0</v>
      </c>
      <c r="O26" s="284">
        <v>0</v>
      </c>
      <c r="P26" s="285">
        <v>0</v>
      </c>
    </row>
    <row r="27" spans="1:17" s="269" customFormat="1" ht="24" x14ac:dyDescent="0.2">
      <c r="A27" s="118" t="s">
        <v>80</v>
      </c>
      <c r="B27" s="300">
        <v>0</v>
      </c>
      <c r="C27" s="301">
        <v>0</v>
      </c>
      <c r="D27" s="316">
        <v>0</v>
      </c>
      <c r="E27" s="285">
        <v>0</v>
      </c>
      <c r="F27" s="300">
        <v>0</v>
      </c>
      <c r="G27" s="323"/>
      <c r="H27" s="324"/>
      <c r="I27" s="325"/>
      <c r="J27" s="283">
        <v>0</v>
      </c>
      <c r="K27" s="283">
        <v>0</v>
      </c>
      <c r="L27" s="283">
        <v>0</v>
      </c>
      <c r="M27" s="283">
        <v>0</v>
      </c>
      <c r="N27" s="283">
        <v>0</v>
      </c>
      <c r="O27" s="284">
        <v>0</v>
      </c>
      <c r="P27" s="285">
        <v>0</v>
      </c>
    </row>
    <row r="28" spans="1:17" s="269" customFormat="1" ht="24" x14ac:dyDescent="0.2">
      <c r="A28" s="118" t="s">
        <v>81</v>
      </c>
      <c r="B28" s="300">
        <v>0</v>
      </c>
      <c r="C28" s="301">
        <v>0</v>
      </c>
      <c r="D28" s="316">
        <v>0</v>
      </c>
      <c r="E28" s="285">
        <v>0</v>
      </c>
      <c r="F28" s="300">
        <v>0</v>
      </c>
      <c r="G28" s="323"/>
      <c r="H28" s="324"/>
      <c r="I28" s="325"/>
      <c r="J28" s="283">
        <v>0</v>
      </c>
      <c r="K28" s="283">
        <v>0</v>
      </c>
      <c r="L28" s="283">
        <v>0</v>
      </c>
      <c r="M28" s="283">
        <v>0</v>
      </c>
      <c r="N28" s="283">
        <v>0</v>
      </c>
      <c r="O28" s="284">
        <v>0</v>
      </c>
      <c r="P28" s="285">
        <v>0</v>
      </c>
    </row>
    <row r="29" spans="1:17" s="269" customFormat="1" ht="24" x14ac:dyDescent="0.2">
      <c r="A29" s="118" t="s">
        <v>82</v>
      </c>
      <c r="B29" s="300">
        <v>1</v>
      </c>
      <c r="C29" s="301">
        <v>0</v>
      </c>
      <c r="D29" s="316">
        <v>0</v>
      </c>
      <c r="E29" s="285">
        <v>0</v>
      </c>
      <c r="F29" s="300">
        <v>0</v>
      </c>
      <c r="G29" s="323"/>
      <c r="H29" s="324"/>
      <c r="I29" s="325"/>
      <c r="J29" s="283">
        <v>0</v>
      </c>
      <c r="K29" s="283">
        <v>0</v>
      </c>
      <c r="L29" s="283">
        <v>0</v>
      </c>
      <c r="M29" s="283">
        <v>0</v>
      </c>
      <c r="N29" s="283">
        <v>0</v>
      </c>
      <c r="O29" s="284">
        <v>0</v>
      </c>
      <c r="P29" s="285">
        <v>0</v>
      </c>
    </row>
    <row r="30" spans="1:17" s="269" customFormat="1" x14ac:dyDescent="0.2">
      <c r="A30" s="118" t="s">
        <v>83</v>
      </c>
      <c r="B30" s="300">
        <v>489.66699999999997</v>
      </c>
      <c r="C30" s="301">
        <v>504.66699999999997</v>
      </c>
      <c r="D30" s="265">
        <v>443.33300000000003</v>
      </c>
      <c r="E30" s="285">
        <f>(POWER(D30/B30,1/2))-1</f>
        <v>-4.8487251280453725E-2</v>
      </c>
      <c r="F30" s="300">
        <v>504.66699999999997</v>
      </c>
      <c r="G30" s="323"/>
      <c r="H30" s="324"/>
      <c r="I30" s="325"/>
      <c r="J30" s="283">
        <v>455</v>
      </c>
      <c r="K30" s="283">
        <v>465</v>
      </c>
      <c r="L30" s="283">
        <f>475</f>
        <v>475</v>
      </c>
      <c r="M30" s="283">
        <f>490</f>
        <v>490</v>
      </c>
      <c r="N30" s="283">
        <v>500</v>
      </c>
      <c r="O30" s="284">
        <v>520</v>
      </c>
      <c r="P30" s="285">
        <f t="shared" ref="P30:P57" si="3">RATE(5,,-J30,O30)</f>
        <v>2.7066087091491442E-2</v>
      </c>
    </row>
    <row r="31" spans="1:17" s="269" customFormat="1" ht="24" x14ac:dyDescent="0.2">
      <c r="A31" s="118" t="s">
        <v>84</v>
      </c>
      <c r="B31" s="300">
        <v>17</v>
      </c>
      <c r="C31" s="301">
        <v>18.5</v>
      </c>
      <c r="D31" s="182">
        <v>13.417</v>
      </c>
      <c r="E31" s="285">
        <f>(POWER(D31/B31,1/2))-1</f>
        <v>-0.11161084308865687</v>
      </c>
      <c r="F31" s="300">
        <v>18.5</v>
      </c>
      <c r="G31" s="323"/>
      <c r="H31" s="324"/>
      <c r="I31" s="325"/>
      <c r="J31" s="283">
        <v>24</v>
      </c>
      <c r="K31" s="283">
        <v>25</v>
      </c>
      <c r="L31" s="283">
        <v>25</v>
      </c>
      <c r="M31" s="283">
        <v>26</v>
      </c>
      <c r="N31" s="283">
        <v>26</v>
      </c>
      <c r="O31" s="283">
        <v>27</v>
      </c>
      <c r="P31" s="285">
        <f t="shared" si="3"/>
        <v>2.3836255543325302E-2</v>
      </c>
    </row>
    <row r="32" spans="1:17" s="269" customFormat="1" ht="36" x14ac:dyDescent="0.2">
      <c r="A32" s="118" t="s">
        <v>85</v>
      </c>
      <c r="B32" s="300">
        <v>484.66700000000003</v>
      </c>
      <c r="C32" s="301">
        <v>512.16700000000003</v>
      </c>
      <c r="D32" s="317">
        <v>581</v>
      </c>
      <c r="E32" s="285">
        <f>(POWER(D32/B32,1/2))-1</f>
        <v>9.487954191587078E-2</v>
      </c>
      <c r="F32" s="300">
        <v>512.16700000000003</v>
      </c>
      <c r="G32" s="323"/>
      <c r="H32" s="324"/>
      <c r="I32" s="325"/>
      <c r="J32" s="283">
        <v>580</v>
      </c>
      <c r="K32" s="283">
        <v>637</v>
      </c>
      <c r="L32" s="283">
        <f>685</f>
        <v>685</v>
      </c>
      <c r="M32" s="283">
        <f>696</f>
        <v>696</v>
      </c>
      <c r="N32" s="283">
        <f>700</f>
        <v>700</v>
      </c>
      <c r="O32" s="283">
        <f>706</f>
        <v>706</v>
      </c>
      <c r="P32" s="285">
        <f t="shared" si="3"/>
        <v>4.0100587046930085E-2</v>
      </c>
    </row>
    <row r="33" spans="1:16" s="269" customFormat="1" ht="24" x14ac:dyDescent="0.2">
      <c r="A33" s="118" t="s">
        <v>86</v>
      </c>
      <c r="B33" s="300">
        <v>0</v>
      </c>
      <c r="C33" s="301">
        <v>0</v>
      </c>
      <c r="D33" s="316">
        <v>0</v>
      </c>
      <c r="E33" s="285">
        <v>0</v>
      </c>
      <c r="F33" s="300">
        <v>0</v>
      </c>
      <c r="G33" s="323"/>
      <c r="H33" s="324"/>
      <c r="I33" s="325"/>
      <c r="J33" s="283">
        <v>0</v>
      </c>
      <c r="K33" s="283">
        <v>0</v>
      </c>
      <c r="L33" s="283">
        <v>0</v>
      </c>
      <c r="M33" s="283">
        <v>0</v>
      </c>
      <c r="N33" s="283">
        <v>0</v>
      </c>
      <c r="O33" s="284">
        <v>0</v>
      </c>
      <c r="P33" s="285">
        <v>0</v>
      </c>
    </row>
    <row r="34" spans="1:16" s="269" customFormat="1" x14ac:dyDescent="0.2">
      <c r="A34" s="118" t="s">
        <v>87</v>
      </c>
      <c r="B34" s="300">
        <v>0</v>
      </c>
      <c r="C34" s="301">
        <v>0</v>
      </c>
      <c r="D34" s="316">
        <v>0</v>
      </c>
      <c r="E34" s="285">
        <v>0</v>
      </c>
      <c r="F34" s="300">
        <v>0</v>
      </c>
      <c r="G34" s="323"/>
      <c r="H34" s="324"/>
      <c r="I34" s="325"/>
      <c r="J34" s="283">
        <v>0</v>
      </c>
      <c r="K34" s="283">
        <v>0</v>
      </c>
      <c r="L34" s="283">
        <v>0</v>
      </c>
      <c r="M34" s="283">
        <v>0</v>
      </c>
      <c r="N34" s="283">
        <v>0</v>
      </c>
      <c r="O34" s="284">
        <v>0</v>
      </c>
      <c r="P34" s="285">
        <v>0</v>
      </c>
    </row>
    <row r="35" spans="1:16" s="269" customFormat="1" x14ac:dyDescent="0.2">
      <c r="A35" s="118" t="s">
        <v>88</v>
      </c>
      <c r="B35" s="300">
        <v>0</v>
      </c>
      <c r="C35" s="301">
        <v>0</v>
      </c>
      <c r="D35" s="316">
        <v>0</v>
      </c>
      <c r="E35" s="285">
        <v>0</v>
      </c>
      <c r="F35" s="300">
        <v>0</v>
      </c>
      <c r="G35" s="323"/>
      <c r="H35" s="324"/>
      <c r="I35" s="325"/>
      <c r="J35" s="283">
        <v>0</v>
      </c>
      <c r="K35" s="283">
        <v>0</v>
      </c>
      <c r="L35" s="283">
        <v>0</v>
      </c>
      <c r="M35" s="283">
        <v>0</v>
      </c>
      <c r="N35" s="283">
        <v>0</v>
      </c>
      <c r="O35" s="284">
        <v>0</v>
      </c>
      <c r="P35" s="285">
        <v>0</v>
      </c>
    </row>
    <row r="36" spans="1:16" s="269" customFormat="1" ht="36" x14ac:dyDescent="0.2">
      <c r="A36" s="118" t="s">
        <v>89</v>
      </c>
      <c r="B36" s="300">
        <v>0</v>
      </c>
      <c r="C36" s="301">
        <v>0</v>
      </c>
      <c r="D36" s="316">
        <v>0</v>
      </c>
      <c r="E36" s="285">
        <v>0</v>
      </c>
      <c r="F36" s="300">
        <v>0</v>
      </c>
      <c r="G36" s="323"/>
      <c r="H36" s="324"/>
      <c r="I36" s="325"/>
      <c r="J36" s="283">
        <v>0</v>
      </c>
      <c r="K36" s="283">
        <v>0</v>
      </c>
      <c r="L36" s="283">
        <v>0</v>
      </c>
      <c r="M36" s="283">
        <v>0</v>
      </c>
      <c r="N36" s="283">
        <v>0</v>
      </c>
      <c r="O36" s="284">
        <v>0</v>
      </c>
      <c r="P36" s="285">
        <v>0</v>
      </c>
    </row>
    <row r="37" spans="1:16" s="269" customFormat="1" ht="24" x14ac:dyDescent="0.2">
      <c r="A37" s="118" t="s">
        <v>90</v>
      </c>
      <c r="B37" s="300">
        <v>3.5</v>
      </c>
      <c r="C37" s="301">
        <v>1.583</v>
      </c>
      <c r="D37" s="318">
        <v>0.33300000000000002</v>
      </c>
      <c r="E37" s="285">
        <f>(POWER(D37/B37,1/2))-1</f>
        <v>-0.69154764202091568</v>
      </c>
      <c r="F37" s="300">
        <v>1.583</v>
      </c>
      <c r="G37" s="323"/>
      <c r="H37" s="324"/>
      <c r="I37" s="325"/>
      <c r="J37" s="283">
        <v>2</v>
      </c>
      <c r="K37" s="283">
        <v>2</v>
      </c>
      <c r="L37" s="283">
        <v>2</v>
      </c>
      <c r="M37" s="283">
        <v>2</v>
      </c>
      <c r="N37" s="283">
        <v>2</v>
      </c>
      <c r="O37" s="284">
        <v>2</v>
      </c>
      <c r="P37" s="285">
        <f t="shared" si="3"/>
        <v>8.8113899357329076E-17</v>
      </c>
    </row>
    <row r="38" spans="1:16" s="269" customFormat="1" ht="24" x14ac:dyDescent="0.2">
      <c r="A38" s="118" t="s">
        <v>91</v>
      </c>
      <c r="B38" s="300">
        <v>436.83299999999997</v>
      </c>
      <c r="C38" s="301">
        <v>480.91700000000003</v>
      </c>
      <c r="D38" s="318">
        <v>483.33300000000003</v>
      </c>
      <c r="E38" s="285">
        <f>(POWER(D38/B38,1/2))-1</f>
        <v>5.1878320847041248E-2</v>
      </c>
      <c r="F38" s="300">
        <v>480.91700000000003</v>
      </c>
      <c r="G38" s="323"/>
      <c r="H38" s="324"/>
      <c r="I38" s="325"/>
      <c r="J38" s="283">
        <v>558</v>
      </c>
      <c r="K38" s="283">
        <v>590</v>
      </c>
      <c r="L38" s="283">
        <f>605</f>
        <v>605</v>
      </c>
      <c r="M38" s="283">
        <f>623</f>
        <v>623</v>
      </c>
      <c r="N38" s="283">
        <f>642</f>
        <v>642</v>
      </c>
      <c r="O38" s="283">
        <f>661</f>
        <v>661</v>
      </c>
      <c r="P38" s="285">
        <f t="shared" si="3"/>
        <v>3.4459404214238154E-2</v>
      </c>
    </row>
    <row r="39" spans="1:16" s="269" customFormat="1" ht="24" x14ac:dyDescent="0.2">
      <c r="A39" s="118" t="s">
        <v>92</v>
      </c>
      <c r="B39" s="300">
        <v>0</v>
      </c>
      <c r="C39" s="301">
        <v>0</v>
      </c>
      <c r="D39" s="316">
        <v>0</v>
      </c>
      <c r="E39" s="285">
        <v>0</v>
      </c>
      <c r="F39" s="300">
        <v>0</v>
      </c>
      <c r="G39" s="323"/>
      <c r="H39" s="324"/>
      <c r="I39" s="325"/>
      <c r="J39" s="283">
        <v>0</v>
      </c>
      <c r="K39" s="283">
        <v>0</v>
      </c>
      <c r="L39" s="283">
        <v>0</v>
      </c>
      <c r="M39" s="283">
        <v>0</v>
      </c>
      <c r="N39" s="283">
        <v>0</v>
      </c>
      <c r="O39" s="284">
        <v>0</v>
      </c>
      <c r="P39" s="285">
        <v>0</v>
      </c>
    </row>
    <row r="40" spans="1:16" s="269" customFormat="1" ht="24" x14ac:dyDescent="0.2">
      <c r="A40" s="118" t="s">
        <v>93</v>
      </c>
      <c r="B40" s="300">
        <v>0</v>
      </c>
      <c r="C40" s="301">
        <v>0</v>
      </c>
      <c r="D40" s="316">
        <v>0</v>
      </c>
      <c r="E40" s="285">
        <v>0</v>
      </c>
      <c r="F40" s="300">
        <v>0</v>
      </c>
      <c r="G40" s="323"/>
      <c r="H40" s="324"/>
      <c r="I40" s="325"/>
      <c r="J40" s="283">
        <v>0</v>
      </c>
      <c r="K40" s="283">
        <v>0</v>
      </c>
      <c r="L40" s="283">
        <v>0</v>
      </c>
      <c r="M40" s="283">
        <v>0</v>
      </c>
      <c r="N40" s="283">
        <v>0</v>
      </c>
      <c r="O40" s="284">
        <v>0</v>
      </c>
      <c r="P40" s="285">
        <v>0</v>
      </c>
    </row>
    <row r="41" spans="1:16" s="269" customFormat="1" ht="24" x14ac:dyDescent="0.2">
      <c r="A41" s="118" t="s">
        <v>94</v>
      </c>
      <c r="B41" s="300">
        <v>0</v>
      </c>
      <c r="C41" s="301">
        <v>0</v>
      </c>
      <c r="D41" s="316">
        <v>0</v>
      </c>
      <c r="E41" s="285">
        <v>0</v>
      </c>
      <c r="F41" s="300">
        <v>0</v>
      </c>
      <c r="G41" s="323"/>
      <c r="H41" s="324"/>
      <c r="I41" s="325"/>
      <c r="J41" s="283">
        <v>0</v>
      </c>
      <c r="K41" s="283">
        <v>0</v>
      </c>
      <c r="L41" s="283">
        <v>0</v>
      </c>
      <c r="M41" s="283">
        <v>0</v>
      </c>
      <c r="N41" s="283">
        <v>0</v>
      </c>
      <c r="O41" s="284">
        <v>0</v>
      </c>
      <c r="P41" s="285">
        <v>0</v>
      </c>
    </row>
    <row r="42" spans="1:16" s="269" customFormat="1" x14ac:dyDescent="0.2">
      <c r="A42" s="118" t="s">
        <v>95</v>
      </c>
      <c r="B42" s="300">
        <v>0</v>
      </c>
      <c r="C42" s="301">
        <v>0</v>
      </c>
      <c r="D42" s="316">
        <v>0</v>
      </c>
      <c r="E42" s="285">
        <v>0</v>
      </c>
      <c r="F42" s="300">
        <v>0</v>
      </c>
      <c r="G42" s="323"/>
      <c r="H42" s="324"/>
      <c r="I42" s="325"/>
      <c r="J42" s="283">
        <v>0</v>
      </c>
      <c r="K42" s="283">
        <v>0</v>
      </c>
      <c r="L42" s="283">
        <v>0</v>
      </c>
      <c r="M42" s="283">
        <v>0</v>
      </c>
      <c r="N42" s="283">
        <v>0</v>
      </c>
      <c r="O42" s="284">
        <v>0</v>
      </c>
      <c r="P42" s="285">
        <v>0</v>
      </c>
    </row>
    <row r="43" spans="1:16" s="269" customFormat="1" x14ac:dyDescent="0.2">
      <c r="A43" s="118" t="s">
        <v>96</v>
      </c>
      <c r="B43" s="300">
        <v>0</v>
      </c>
      <c r="C43" s="301">
        <v>0</v>
      </c>
      <c r="D43" s="316">
        <v>0</v>
      </c>
      <c r="E43" s="285">
        <v>0</v>
      </c>
      <c r="F43" s="300">
        <v>0</v>
      </c>
      <c r="G43" s="323"/>
      <c r="H43" s="324"/>
      <c r="I43" s="325"/>
      <c r="J43" s="283">
        <v>0</v>
      </c>
      <c r="K43" s="283">
        <v>0</v>
      </c>
      <c r="L43" s="283">
        <v>0</v>
      </c>
      <c r="M43" s="283">
        <v>0</v>
      </c>
      <c r="N43" s="283">
        <v>0</v>
      </c>
      <c r="O43" s="284">
        <v>0</v>
      </c>
      <c r="P43" s="285">
        <v>0</v>
      </c>
    </row>
    <row r="44" spans="1:16" s="269" customFormat="1" ht="24" x14ac:dyDescent="0.2">
      <c r="A44" s="118" t="s">
        <v>97</v>
      </c>
      <c r="B44" s="300">
        <v>0</v>
      </c>
      <c r="C44" s="301">
        <v>0</v>
      </c>
      <c r="D44" s="316">
        <v>0</v>
      </c>
      <c r="E44" s="285">
        <v>0</v>
      </c>
      <c r="F44" s="300">
        <v>0</v>
      </c>
      <c r="G44" s="323"/>
      <c r="H44" s="324"/>
      <c r="I44" s="325"/>
      <c r="J44" s="283">
        <v>0</v>
      </c>
      <c r="K44" s="283">
        <v>0</v>
      </c>
      <c r="L44" s="283">
        <v>0</v>
      </c>
      <c r="M44" s="283">
        <v>0</v>
      </c>
      <c r="N44" s="283">
        <v>0</v>
      </c>
      <c r="O44" s="284">
        <v>0</v>
      </c>
      <c r="P44" s="285">
        <v>0</v>
      </c>
    </row>
    <row r="45" spans="1:16" s="269" customFormat="1" x14ac:dyDescent="0.2">
      <c r="A45" s="118" t="s">
        <v>98</v>
      </c>
      <c r="B45" s="300">
        <v>0</v>
      </c>
      <c r="C45" s="301">
        <v>0</v>
      </c>
      <c r="D45" s="316">
        <v>0</v>
      </c>
      <c r="E45" s="285">
        <v>0</v>
      </c>
      <c r="F45" s="300">
        <v>0</v>
      </c>
      <c r="G45" s="323"/>
      <c r="H45" s="324"/>
      <c r="I45" s="325"/>
      <c r="J45" s="283">
        <v>0</v>
      </c>
      <c r="K45" s="283">
        <v>0</v>
      </c>
      <c r="L45" s="283">
        <v>0</v>
      </c>
      <c r="M45" s="283">
        <v>0</v>
      </c>
      <c r="N45" s="283">
        <v>0</v>
      </c>
      <c r="O45" s="284">
        <v>0</v>
      </c>
      <c r="P45" s="285">
        <v>0</v>
      </c>
    </row>
    <row r="46" spans="1:16" s="269" customFormat="1" ht="24" x14ac:dyDescent="0.2">
      <c r="A46" s="118" t="s">
        <v>99</v>
      </c>
      <c r="B46" s="300">
        <v>0</v>
      </c>
      <c r="C46" s="301">
        <v>0</v>
      </c>
      <c r="D46" s="316">
        <v>0</v>
      </c>
      <c r="E46" s="285">
        <v>0</v>
      </c>
      <c r="F46" s="300">
        <v>0</v>
      </c>
      <c r="G46" s="323"/>
      <c r="H46" s="324"/>
      <c r="I46" s="325"/>
      <c r="J46" s="283">
        <v>0</v>
      </c>
      <c r="K46" s="283">
        <v>0</v>
      </c>
      <c r="L46" s="283">
        <v>0</v>
      </c>
      <c r="M46" s="283">
        <v>0</v>
      </c>
      <c r="N46" s="283">
        <v>0</v>
      </c>
      <c r="O46" s="284">
        <v>0</v>
      </c>
      <c r="P46" s="285">
        <v>0</v>
      </c>
    </row>
    <row r="47" spans="1:16" s="269" customFormat="1" x14ac:dyDescent="0.2">
      <c r="A47" s="118" t="s">
        <v>100</v>
      </c>
      <c r="B47" s="300">
        <v>0</v>
      </c>
      <c r="C47" s="301">
        <v>0</v>
      </c>
      <c r="D47" s="316">
        <v>0</v>
      </c>
      <c r="E47" s="285">
        <v>0</v>
      </c>
      <c r="F47" s="300">
        <v>0</v>
      </c>
      <c r="G47" s="323"/>
      <c r="H47" s="324"/>
      <c r="I47" s="325"/>
      <c r="J47" s="283">
        <v>0</v>
      </c>
      <c r="K47" s="283">
        <v>0</v>
      </c>
      <c r="L47" s="283">
        <v>0</v>
      </c>
      <c r="M47" s="283">
        <v>0</v>
      </c>
      <c r="N47" s="283">
        <v>0</v>
      </c>
      <c r="O47" s="284">
        <v>0</v>
      </c>
      <c r="P47" s="285">
        <v>0</v>
      </c>
    </row>
    <row r="48" spans="1:16" s="269" customFormat="1" ht="24" x14ac:dyDescent="0.2">
      <c r="A48" s="118" t="s">
        <v>101</v>
      </c>
      <c r="B48" s="300">
        <v>0</v>
      </c>
      <c r="C48" s="301">
        <v>0</v>
      </c>
      <c r="D48" s="316">
        <v>0</v>
      </c>
      <c r="E48" s="285">
        <v>0</v>
      </c>
      <c r="F48" s="300">
        <v>0</v>
      </c>
      <c r="G48" s="323"/>
      <c r="H48" s="324"/>
      <c r="I48" s="325"/>
      <c r="J48" s="283">
        <v>0</v>
      </c>
      <c r="K48" s="283">
        <v>0</v>
      </c>
      <c r="L48" s="283">
        <v>0</v>
      </c>
      <c r="M48" s="283">
        <v>0</v>
      </c>
      <c r="N48" s="283">
        <v>0</v>
      </c>
      <c r="O48" s="284">
        <v>0</v>
      </c>
      <c r="P48" s="285">
        <v>0</v>
      </c>
    </row>
    <row r="49" spans="1:17" s="269" customFormat="1" ht="24" x14ac:dyDescent="0.2">
      <c r="A49" s="118" t="s">
        <v>102</v>
      </c>
      <c r="B49" s="300">
        <v>0</v>
      </c>
      <c r="C49" s="301">
        <v>0</v>
      </c>
      <c r="D49" s="316">
        <v>0</v>
      </c>
      <c r="E49" s="285">
        <v>0</v>
      </c>
      <c r="F49" s="300">
        <v>0</v>
      </c>
      <c r="G49" s="323"/>
      <c r="H49" s="324"/>
      <c r="I49" s="325"/>
      <c r="J49" s="283">
        <v>0</v>
      </c>
      <c r="K49" s="283">
        <v>0</v>
      </c>
      <c r="L49" s="283">
        <v>0</v>
      </c>
      <c r="M49" s="283">
        <v>0</v>
      </c>
      <c r="N49" s="283">
        <v>0</v>
      </c>
      <c r="O49" s="284">
        <v>0</v>
      </c>
      <c r="P49" s="285">
        <v>0</v>
      </c>
    </row>
    <row r="50" spans="1:17" s="269" customFormat="1" x14ac:dyDescent="0.2">
      <c r="A50" s="118" t="s">
        <v>103</v>
      </c>
      <c r="B50" s="300">
        <v>0</v>
      </c>
      <c r="C50" s="301">
        <v>0</v>
      </c>
      <c r="D50" s="316">
        <v>0</v>
      </c>
      <c r="E50" s="285">
        <v>0</v>
      </c>
      <c r="F50" s="300">
        <v>0</v>
      </c>
      <c r="G50" s="323"/>
      <c r="H50" s="324"/>
      <c r="I50" s="325"/>
      <c r="J50" s="283">
        <v>0</v>
      </c>
      <c r="K50" s="283">
        <v>0</v>
      </c>
      <c r="L50" s="283">
        <v>0</v>
      </c>
      <c r="M50" s="283">
        <v>0</v>
      </c>
      <c r="N50" s="283">
        <v>0</v>
      </c>
      <c r="O50" s="284">
        <v>0</v>
      </c>
      <c r="P50" s="285">
        <v>0</v>
      </c>
    </row>
    <row r="51" spans="1:17" s="269" customFormat="1" ht="24" x14ac:dyDescent="0.2">
      <c r="A51" s="118" t="s">
        <v>104</v>
      </c>
      <c r="B51" s="300">
        <v>89.667000000000002</v>
      </c>
      <c r="C51" s="301">
        <v>181</v>
      </c>
      <c r="D51" s="318">
        <v>243.417</v>
      </c>
      <c r="E51" s="285">
        <f t="shared" ref="E51:E53" si="4">(POWER(D51/B51,1/2))-1</f>
        <v>0.64762788292853513</v>
      </c>
      <c r="F51" s="300">
        <v>181</v>
      </c>
      <c r="G51" s="323"/>
      <c r="H51" s="324"/>
      <c r="I51" s="325"/>
      <c r="J51" s="283">
        <v>225</v>
      </c>
      <c r="K51" s="283">
        <v>230</v>
      </c>
      <c r="L51" s="283">
        <f>240</f>
        <v>240</v>
      </c>
      <c r="M51" s="283">
        <v>253</v>
      </c>
      <c r="N51" s="283">
        <f>255</f>
        <v>255</v>
      </c>
      <c r="O51" s="284">
        <f>260</f>
        <v>260</v>
      </c>
      <c r="P51" s="285">
        <f t="shared" si="3"/>
        <v>2.9338379414788462E-2</v>
      </c>
    </row>
    <row r="52" spans="1:17" s="269" customFormat="1" ht="24" x14ac:dyDescent="0.2">
      <c r="A52" s="118" t="s">
        <v>105</v>
      </c>
      <c r="B52" s="300">
        <v>92.582999999999998</v>
      </c>
      <c r="C52" s="301">
        <v>84.5</v>
      </c>
      <c r="D52" s="318">
        <v>74.832999999999998</v>
      </c>
      <c r="E52" s="285">
        <f t="shared" si="4"/>
        <v>-0.10095598671573458</v>
      </c>
      <c r="F52" s="300">
        <v>84.5</v>
      </c>
      <c r="G52" s="323"/>
      <c r="H52" s="324"/>
      <c r="I52" s="325"/>
      <c r="J52" s="283">
        <v>113</v>
      </c>
      <c r="K52" s="283">
        <v>113</v>
      </c>
      <c r="L52" s="283">
        <v>114</v>
      </c>
      <c r="M52" s="283">
        <v>114</v>
      </c>
      <c r="N52" s="283">
        <v>115</v>
      </c>
      <c r="O52" s="284">
        <v>115</v>
      </c>
      <c r="P52" s="285">
        <f t="shared" si="3"/>
        <v>3.5150251927754277E-3</v>
      </c>
    </row>
    <row r="53" spans="1:17" s="269" customFormat="1" ht="24" x14ac:dyDescent="0.2">
      <c r="A53" s="118" t="s">
        <v>106</v>
      </c>
      <c r="B53" s="300">
        <v>27.75</v>
      </c>
      <c r="C53" s="301">
        <v>23.832999999999998</v>
      </c>
      <c r="D53" s="319">
        <v>39.332999999999998</v>
      </c>
      <c r="E53" s="285">
        <f t="shared" si="4"/>
        <v>0.19054836332061931</v>
      </c>
      <c r="F53" s="300">
        <v>23.832999999999998</v>
      </c>
      <c r="G53" s="323"/>
      <c r="H53" s="324"/>
      <c r="I53" s="325"/>
      <c r="J53" s="283">
        <v>42</v>
      </c>
      <c r="K53" s="283">
        <v>42</v>
      </c>
      <c r="L53" s="283">
        <f>45</f>
        <v>45</v>
      </c>
      <c r="M53" s="283">
        <f>45</f>
        <v>45</v>
      </c>
      <c r="N53" s="283">
        <f>50</f>
        <v>50</v>
      </c>
      <c r="O53" s="284">
        <f>50</f>
        <v>50</v>
      </c>
      <c r="P53" s="285">
        <f t="shared" si="3"/>
        <v>3.548578845635339E-2</v>
      </c>
    </row>
    <row r="54" spans="1:17" s="269" customFormat="1" ht="24" x14ac:dyDescent="0.2">
      <c r="A54" s="118" t="s">
        <v>107</v>
      </c>
      <c r="B54" s="300">
        <v>0.25</v>
      </c>
      <c r="C54" s="301">
        <v>0</v>
      </c>
      <c r="D54" s="316">
        <v>0</v>
      </c>
      <c r="E54" s="285">
        <v>0</v>
      </c>
      <c r="F54" s="300">
        <v>0</v>
      </c>
      <c r="G54" s="323"/>
      <c r="H54" s="324"/>
      <c r="I54" s="325"/>
      <c r="J54" s="283">
        <v>0</v>
      </c>
      <c r="K54" s="283">
        <v>0</v>
      </c>
      <c r="L54" s="283">
        <v>0</v>
      </c>
      <c r="M54" s="283">
        <v>0</v>
      </c>
      <c r="N54" s="283">
        <v>0</v>
      </c>
      <c r="O54" s="284">
        <v>0</v>
      </c>
      <c r="P54" s="285">
        <v>0</v>
      </c>
    </row>
    <row r="55" spans="1:17" s="269" customFormat="1" ht="36" x14ac:dyDescent="0.2">
      <c r="A55" s="118" t="s">
        <v>108</v>
      </c>
      <c r="B55" s="300">
        <v>0</v>
      </c>
      <c r="C55" s="301">
        <v>0</v>
      </c>
      <c r="D55" s="316">
        <v>0</v>
      </c>
      <c r="E55" s="285">
        <v>0</v>
      </c>
      <c r="F55" s="300">
        <v>0</v>
      </c>
      <c r="G55" s="323"/>
      <c r="H55" s="324"/>
      <c r="I55" s="325"/>
      <c r="J55" s="283">
        <v>0</v>
      </c>
      <c r="K55" s="283">
        <v>0</v>
      </c>
      <c r="L55" s="283">
        <v>0</v>
      </c>
      <c r="M55" s="283">
        <v>0</v>
      </c>
      <c r="N55" s="283">
        <v>0</v>
      </c>
      <c r="O55" s="284">
        <v>0</v>
      </c>
      <c r="P55" s="285">
        <v>0</v>
      </c>
    </row>
    <row r="56" spans="1:17" s="269" customFormat="1" ht="13.5" thickBot="1" x14ac:dyDescent="0.25">
      <c r="A56" s="119" t="s">
        <v>109</v>
      </c>
      <c r="B56" s="296">
        <v>0</v>
      </c>
      <c r="C56" s="297">
        <v>0</v>
      </c>
      <c r="D56" s="315">
        <v>0</v>
      </c>
      <c r="E56" s="278">
        <v>0</v>
      </c>
      <c r="F56" s="296">
        <v>0</v>
      </c>
      <c r="G56" s="320"/>
      <c r="H56" s="321"/>
      <c r="I56" s="326"/>
      <c r="J56" s="303">
        <v>0</v>
      </c>
      <c r="K56" s="303">
        <v>0</v>
      </c>
      <c r="L56" s="303">
        <v>0</v>
      </c>
      <c r="M56" s="303">
        <v>0</v>
      </c>
      <c r="N56" s="303">
        <v>0</v>
      </c>
      <c r="O56" s="304">
        <v>0</v>
      </c>
      <c r="P56" s="305">
        <v>0</v>
      </c>
    </row>
    <row r="57" spans="1:17" s="269" customFormat="1" ht="24.75" thickBot="1" x14ac:dyDescent="0.25">
      <c r="A57" s="123" t="s">
        <v>16</v>
      </c>
      <c r="B57" s="306">
        <f>SUM(B25:B56)</f>
        <v>1642.9169999999999</v>
      </c>
      <c r="C57" s="307">
        <f t="shared" ref="C57:F57" si="5">SUM(C25:C56)</f>
        <v>1807.1669999999999</v>
      </c>
      <c r="D57" s="415">
        <f t="shared" si="5"/>
        <v>1878.9990000000003</v>
      </c>
      <c r="E57" s="416">
        <f t="shared" ref="E57" si="6">RATE(1,,-B57,D57)</f>
        <v>0.14369685139297997</v>
      </c>
      <c r="F57" s="306">
        <f t="shared" si="5"/>
        <v>1807.1669999999999</v>
      </c>
      <c r="G57" s="14">
        <v>1729</v>
      </c>
      <c r="H57" s="16">
        <v>1820</v>
      </c>
      <c r="I57" s="417">
        <v>1916</v>
      </c>
      <c r="J57" s="308">
        <f t="shared" ref="J57:O57" si="7">SUM(J25:J56)</f>
        <v>1999</v>
      </c>
      <c r="K57" s="308">
        <f t="shared" si="7"/>
        <v>2104</v>
      </c>
      <c r="L57" s="308">
        <f t="shared" si="7"/>
        <v>2191</v>
      </c>
      <c r="M57" s="308">
        <f t="shared" si="7"/>
        <v>2249</v>
      </c>
      <c r="N57" s="308">
        <f t="shared" si="7"/>
        <v>2290</v>
      </c>
      <c r="O57" s="309">
        <f t="shared" si="7"/>
        <v>2341</v>
      </c>
      <c r="P57" s="291">
        <f t="shared" si="3"/>
        <v>3.2090365400950907E-2</v>
      </c>
    </row>
    <row r="58" spans="1:17" ht="15.75" x14ac:dyDescent="0.25">
      <c r="A58" s="87"/>
      <c r="B58" s="86"/>
      <c r="C58" s="86"/>
      <c r="D58" s="86"/>
      <c r="E58" s="86"/>
      <c r="F58" s="102"/>
      <c r="G58" s="102"/>
      <c r="H58" s="86"/>
      <c r="I58" s="86"/>
      <c r="J58" s="86"/>
      <c r="Q58" s="105"/>
    </row>
    <row r="59" spans="1:17" x14ac:dyDescent="0.2">
      <c r="N59" s="1"/>
      <c r="O59" s="1"/>
      <c r="Q59" s="105"/>
    </row>
    <row r="60" spans="1:17" ht="15.75" x14ac:dyDescent="0.25">
      <c r="A60" s="637" t="s">
        <v>19</v>
      </c>
      <c r="B60" s="637"/>
      <c r="C60" s="637"/>
      <c r="D60" s="637"/>
      <c r="E60" s="637"/>
      <c r="F60" s="637"/>
      <c r="G60" s="637"/>
      <c r="H60" s="637"/>
      <c r="I60" s="637"/>
      <c r="J60" s="637"/>
      <c r="K60" s="637"/>
      <c r="L60" s="637"/>
      <c r="M60" s="637"/>
      <c r="N60" s="637"/>
      <c r="O60" s="637"/>
      <c r="P60" s="637"/>
      <c r="Q60" s="637"/>
    </row>
    <row r="61" spans="1:17" ht="16.5" thickBot="1" x14ac:dyDescent="0.3">
      <c r="A61" s="637" t="s">
        <v>11</v>
      </c>
      <c r="B61" s="637"/>
      <c r="C61" s="637"/>
      <c r="D61" s="637"/>
      <c r="E61" s="637"/>
      <c r="F61" s="637"/>
      <c r="G61" s="637"/>
      <c r="H61" s="637"/>
      <c r="I61" s="637"/>
      <c r="J61" s="637"/>
      <c r="K61" s="637"/>
      <c r="L61" s="637"/>
      <c r="M61" s="637"/>
      <c r="N61" s="637"/>
      <c r="O61" s="637"/>
      <c r="P61" s="637"/>
      <c r="Q61" s="637"/>
    </row>
    <row r="62" spans="1:17" ht="16.5" thickBot="1" x14ac:dyDescent="0.3">
      <c r="A62" s="165"/>
      <c r="B62" s="650" t="s">
        <v>75</v>
      </c>
      <c r="C62" s="651"/>
      <c r="D62" s="651"/>
      <c r="E62" s="651"/>
      <c r="F62" s="652"/>
      <c r="G62" s="311" t="s">
        <v>171</v>
      </c>
      <c r="H62" s="140"/>
      <c r="I62" s="140"/>
      <c r="J62" s="141"/>
      <c r="K62" s="647" t="s">
        <v>6</v>
      </c>
      <c r="L62" s="648"/>
      <c r="M62" s="648"/>
      <c r="N62" s="648"/>
      <c r="O62" s="648"/>
      <c r="P62" s="648"/>
      <c r="Q62" s="649"/>
    </row>
    <row r="63" spans="1:17" ht="60.75" thickBot="1" x14ac:dyDescent="0.25">
      <c r="A63" s="51"/>
      <c r="B63" s="101">
        <v>2008</v>
      </c>
      <c r="C63" s="7">
        <v>2009</v>
      </c>
      <c r="D63" s="10">
        <v>2010</v>
      </c>
      <c r="E63" s="39">
        <v>2011</v>
      </c>
      <c r="F63" s="391">
        <v>2012</v>
      </c>
      <c r="G63" s="148" t="s">
        <v>172</v>
      </c>
      <c r="H63" s="10" t="s">
        <v>76</v>
      </c>
      <c r="I63" s="39" t="s">
        <v>77</v>
      </c>
      <c r="J63" s="9" t="s">
        <v>0</v>
      </c>
      <c r="K63" s="10" t="s">
        <v>65</v>
      </c>
      <c r="L63" s="10" t="s">
        <v>66</v>
      </c>
      <c r="M63" s="10" t="s">
        <v>67</v>
      </c>
      <c r="N63" s="10" t="s">
        <v>68</v>
      </c>
      <c r="O63" s="7" t="s">
        <v>69</v>
      </c>
      <c r="P63" s="39" t="s">
        <v>70</v>
      </c>
      <c r="Q63" s="9" t="s">
        <v>71</v>
      </c>
    </row>
    <row r="64" spans="1:17" ht="13.5" thickBot="1" x14ac:dyDescent="0.25">
      <c r="A64" s="23" t="s">
        <v>2</v>
      </c>
      <c r="B64" s="24">
        <v>907.24799999999948</v>
      </c>
      <c r="C64" s="14">
        <v>877.27999999999952</v>
      </c>
      <c r="D64" s="25">
        <v>984.08699999999999</v>
      </c>
      <c r="E64" s="15">
        <v>1001.852</v>
      </c>
      <c r="F64" s="16">
        <v>956</v>
      </c>
      <c r="G64" s="25">
        <v>1035</v>
      </c>
      <c r="H64" s="25">
        <v>1090</v>
      </c>
      <c r="I64" s="25">
        <v>1147</v>
      </c>
      <c r="J64" s="11">
        <f>RATE(4,,-C64,I64)</f>
        <v>6.9316571699188478E-2</v>
      </c>
      <c r="K64" s="185">
        <v>1162</v>
      </c>
      <c r="L64" s="185">
        <v>1250.6709833629593</v>
      </c>
      <c r="M64" s="185">
        <v>1331.8144437540873</v>
      </c>
      <c r="N64" s="185">
        <v>1397.9601864701226</v>
      </c>
      <c r="O64" s="185">
        <v>1455.60934282567</v>
      </c>
      <c r="P64" s="185">
        <v>1521.65</v>
      </c>
      <c r="Q64" s="291">
        <f t="shared" ref="Q64" si="8">RATE(5,,-K64,P64)</f>
        <v>5.5411272584850686E-2</v>
      </c>
    </row>
    <row r="67" spans="1:17" ht="15.75" x14ac:dyDescent="0.25">
      <c r="A67" s="644" t="s">
        <v>20</v>
      </c>
      <c r="B67" s="644"/>
      <c r="C67" s="644"/>
      <c r="D67" s="644"/>
      <c r="E67" s="644"/>
      <c r="F67" s="644"/>
      <c r="G67" s="644"/>
      <c r="H67" s="644"/>
      <c r="I67" s="644"/>
      <c r="J67" s="644"/>
      <c r="K67" s="644"/>
      <c r="L67" s="644"/>
      <c r="M67" s="644"/>
      <c r="N67" s="644"/>
      <c r="O67" s="644"/>
      <c r="P67" s="644"/>
      <c r="Q67" s="644"/>
    </row>
    <row r="68" spans="1:17" ht="16.5" thickBot="1" x14ac:dyDescent="0.3">
      <c r="A68" s="643" t="s">
        <v>12</v>
      </c>
      <c r="B68" s="643"/>
      <c r="C68" s="643"/>
      <c r="D68" s="643"/>
      <c r="E68" s="643"/>
      <c r="F68" s="643"/>
      <c r="G68" s="643"/>
      <c r="H68" s="643"/>
      <c r="I68" s="643"/>
      <c r="J68" s="643"/>
      <c r="K68" s="643"/>
      <c r="L68" s="643"/>
      <c r="M68" s="643"/>
      <c r="N68" s="643"/>
      <c r="O68" s="643"/>
      <c r="P68" s="643"/>
      <c r="Q68" s="643"/>
    </row>
    <row r="69" spans="1:17" ht="16.5" thickBot="1" x14ac:dyDescent="0.3">
      <c r="A69" s="52"/>
      <c r="B69" s="650" t="s">
        <v>75</v>
      </c>
      <c r="C69" s="651"/>
      <c r="D69" s="651"/>
      <c r="E69" s="651"/>
      <c r="F69" s="652"/>
      <c r="G69" s="311" t="s">
        <v>171</v>
      </c>
      <c r="H69" s="140"/>
      <c r="I69" s="140"/>
      <c r="J69" s="141"/>
      <c r="K69" s="647" t="s">
        <v>8</v>
      </c>
      <c r="L69" s="648"/>
      <c r="M69" s="648"/>
      <c r="N69" s="648"/>
      <c r="O69" s="648"/>
      <c r="P69" s="648"/>
      <c r="Q69" s="649"/>
    </row>
    <row r="70" spans="1:17" ht="60.75" thickBot="1" x14ac:dyDescent="0.25">
      <c r="A70" s="38"/>
      <c r="B70" s="359">
        <v>2008</v>
      </c>
      <c r="C70" s="368">
        <v>2009</v>
      </c>
      <c r="D70" s="368">
        <v>2010</v>
      </c>
      <c r="E70" s="368">
        <v>2011</v>
      </c>
      <c r="F70" s="391">
        <v>2012</v>
      </c>
      <c r="G70" s="148" t="s">
        <v>172</v>
      </c>
      <c r="H70" s="10" t="s">
        <v>76</v>
      </c>
      <c r="I70" s="39" t="s">
        <v>77</v>
      </c>
      <c r="J70" s="9" t="s">
        <v>0</v>
      </c>
      <c r="K70" s="10" t="s">
        <v>65</v>
      </c>
      <c r="L70" s="10" t="s">
        <v>66</v>
      </c>
      <c r="M70" s="10" t="s">
        <v>67</v>
      </c>
      <c r="N70" s="10" t="s">
        <v>68</v>
      </c>
      <c r="O70" s="7" t="s">
        <v>69</v>
      </c>
      <c r="P70" s="39" t="s">
        <v>70</v>
      </c>
      <c r="Q70" s="9" t="s">
        <v>71</v>
      </c>
    </row>
    <row r="71" spans="1:17" ht="13.5" thickBot="1" x14ac:dyDescent="0.25">
      <c r="A71" s="23" t="s">
        <v>2</v>
      </c>
      <c r="B71" s="26">
        <v>608.2410000000001</v>
      </c>
      <c r="C71" s="14">
        <v>625.63499999999988</v>
      </c>
      <c r="D71" s="14">
        <v>695.279</v>
      </c>
      <c r="E71" s="14">
        <v>693.4670000000001</v>
      </c>
      <c r="F71" s="16">
        <v>696.93900000000008</v>
      </c>
      <c r="G71" s="25">
        <v>735</v>
      </c>
      <c r="H71" s="25">
        <v>785</v>
      </c>
      <c r="I71" s="25">
        <v>837</v>
      </c>
      <c r="J71" s="11">
        <f>RATE(4,,-C71,I71)</f>
        <v>7.5476946268529313E-2</v>
      </c>
      <c r="K71" s="185">
        <v>854.01255879496864</v>
      </c>
      <c r="L71" s="185">
        <v>922.91526664613161</v>
      </c>
      <c r="M71" s="185">
        <v>986.78628213456273</v>
      </c>
      <c r="N71" s="185">
        <v>1040.0035284232792</v>
      </c>
      <c r="O71" s="185">
        <v>1087.2901933756264</v>
      </c>
      <c r="P71" s="185">
        <v>1141.2375000000002</v>
      </c>
      <c r="Q71" s="11">
        <f>RATE(5,,-K71,P71)</f>
        <v>5.969858708683827E-2</v>
      </c>
    </row>
    <row r="74" spans="1:17" ht="15.75" x14ac:dyDescent="0.25">
      <c r="A74" s="644" t="s">
        <v>21</v>
      </c>
      <c r="B74" s="644"/>
      <c r="C74" s="644"/>
      <c r="D74" s="644"/>
      <c r="E74" s="644"/>
      <c r="F74" s="644"/>
      <c r="G74" s="644"/>
      <c r="H74" s="644"/>
      <c r="I74" s="644"/>
      <c r="J74" s="644"/>
      <c r="K74" s="644"/>
      <c r="L74" s="644"/>
      <c r="M74" s="644"/>
      <c r="N74" s="644"/>
      <c r="O74" s="644"/>
    </row>
    <row r="75" spans="1:17" ht="16.5" thickBot="1" x14ac:dyDescent="0.3">
      <c r="A75" s="643" t="s">
        <v>13</v>
      </c>
      <c r="B75" s="643"/>
      <c r="C75" s="643"/>
      <c r="D75" s="643"/>
      <c r="E75" s="643"/>
      <c r="F75" s="643"/>
      <c r="G75" s="643"/>
      <c r="H75" s="643"/>
      <c r="I75" s="643"/>
      <c r="J75" s="643"/>
      <c r="K75" s="643"/>
      <c r="L75" s="643"/>
      <c r="M75" s="643"/>
      <c r="N75" s="643"/>
      <c r="O75" s="643"/>
    </row>
    <row r="76" spans="1:17" ht="16.5" thickBot="1" x14ac:dyDescent="0.3">
      <c r="A76" s="52"/>
      <c r="B76" s="647" t="s">
        <v>75</v>
      </c>
      <c r="C76" s="645"/>
      <c r="D76" s="645"/>
      <c r="E76" s="645"/>
      <c r="F76" s="646"/>
      <c r="G76" s="647" t="s">
        <v>202</v>
      </c>
      <c r="H76" s="645"/>
      <c r="I76" s="646"/>
      <c r="J76" s="647" t="s">
        <v>8</v>
      </c>
      <c r="K76" s="645"/>
      <c r="L76" s="645"/>
      <c r="M76" s="645"/>
      <c r="N76" s="645"/>
      <c r="O76" s="646"/>
      <c r="P76" s="42"/>
    </row>
    <row r="77" spans="1:17" ht="36.75" thickBot="1" x14ac:dyDescent="0.25">
      <c r="A77" s="38"/>
      <c r="B77" s="101">
        <v>2008</v>
      </c>
      <c r="C77" s="7">
        <v>2009</v>
      </c>
      <c r="D77" s="10">
        <v>2010</v>
      </c>
      <c r="E77" s="18">
        <v>2011</v>
      </c>
      <c r="F77" s="391">
        <v>2012</v>
      </c>
      <c r="G77" s="233" t="s">
        <v>172</v>
      </c>
      <c r="H77" s="10" t="s">
        <v>76</v>
      </c>
      <c r="I77" s="18" t="s">
        <v>77</v>
      </c>
      <c r="J77" s="88" t="s">
        <v>65</v>
      </c>
      <c r="K77" s="10" t="s">
        <v>66</v>
      </c>
      <c r="L77" s="10" t="s">
        <v>67</v>
      </c>
      <c r="M77" s="10" t="s">
        <v>68</v>
      </c>
      <c r="N77" s="10" t="s">
        <v>69</v>
      </c>
      <c r="O77" s="18" t="s">
        <v>70</v>
      </c>
      <c r="P77" s="55"/>
    </row>
    <row r="78" spans="1:17" ht="13.5" thickBot="1" x14ac:dyDescent="0.25">
      <c r="A78" s="23" t="s">
        <v>2</v>
      </c>
      <c r="B78" s="29">
        <f t="shared" ref="B78:I78" si="9">B71/B64</f>
        <v>0.67042418390561398</v>
      </c>
      <c r="C78" s="150">
        <f t="shared" si="9"/>
        <v>0.71315315520700373</v>
      </c>
      <c r="D78" s="30">
        <f t="shared" si="9"/>
        <v>0.70652188271971894</v>
      </c>
      <c r="E78" s="32">
        <f t="shared" si="9"/>
        <v>0.69218507324435152</v>
      </c>
      <c r="F78" s="30">
        <f t="shared" si="9"/>
        <v>0.7290156903765691</v>
      </c>
      <c r="G78" s="33">
        <f t="shared" si="9"/>
        <v>0.71014492753623193</v>
      </c>
      <c r="H78" s="30">
        <f t="shared" si="9"/>
        <v>0.72018348623853212</v>
      </c>
      <c r="I78" s="32">
        <f t="shared" si="9"/>
        <v>0.72972972972972971</v>
      </c>
      <c r="J78" s="33">
        <v>0.73495056694919847</v>
      </c>
      <c r="K78" s="34">
        <v>0.73793609904059865</v>
      </c>
      <c r="L78" s="34">
        <v>0.7409337590250431</v>
      </c>
      <c r="M78" s="34">
        <v>0.7439435961687213</v>
      </c>
      <c r="N78" s="34">
        <v>0.74696565993795283</v>
      </c>
      <c r="O78" s="35">
        <v>0.75</v>
      </c>
    </row>
    <row r="80" spans="1:17" x14ac:dyDescent="0.2">
      <c r="I80" s="421"/>
      <c r="J80" s="421"/>
      <c r="K80" s="421"/>
      <c r="L80" s="421"/>
      <c r="M80" s="421"/>
      <c r="N80" s="421"/>
    </row>
    <row r="81" spans="1:17" ht="15.75" x14ac:dyDescent="0.25">
      <c r="A81" s="644" t="s">
        <v>22</v>
      </c>
      <c r="B81" s="644"/>
      <c r="C81" s="644"/>
      <c r="D81" s="644"/>
      <c r="E81" s="644"/>
      <c r="F81" s="644"/>
      <c r="G81" s="644"/>
      <c r="H81" s="644"/>
      <c r="I81" s="644"/>
      <c r="J81" s="644"/>
      <c r="K81" s="644"/>
      <c r="L81" s="644"/>
      <c r="M81" s="644"/>
      <c r="N81" s="644"/>
      <c r="O81" s="644"/>
      <c r="P81" s="644"/>
      <c r="Q81" s="644"/>
    </row>
    <row r="82" spans="1:17" ht="16.5" thickBot="1" x14ac:dyDescent="0.3">
      <c r="A82" s="643" t="s">
        <v>14</v>
      </c>
      <c r="B82" s="643"/>
      <c r="C82" s="643"/>
      <c r="D82" s="643"/>
      <c r="E82" s="643"/>
      <c r="F82" s="643"/>
      <c r="G82" s="643"/>
      <c r="H82" s="643"/>
      <c r="I82" s="643"/>
      <c r="J82" s="643"/>
      <c r="K82" s="643"/>
      <c r="L82" s="643"/>
      <c r="M82" s="643"/>
      <c r="N82" s="643"/>
      <c r="O82" s="643"/>
      <c r="P82" s="643"/>
      <c r="Q82" s="643"/>
    </row>
    <row r="83" spans="1:17" ht="16.5" thickBot="1" x14ac:dyDescent="0.3">
      <c r="A83" s="52"/>
      <c r="B83" s="647" t="s">
        <v>75</v>
      </c>
      <c r="C83" s="645"/>
      <c r="D83" s="645"/>
      <c r="E83" s="645"/>
      <c r="F83" s="646"/>
      <c r="G83" s="311" t="s">
        <v>183</v>
      </c>
      <c r="H83" s="140"/>
      <c r="I83" s="140"/>
      <c r="J83" s="141"/>
      <c r="K83" s="647" t="s">
        <v>15</v>
      </c>
      <c r="L83" s="648"/>
      <c r="M83" s="648"/>
      <c r="N83" s="648"/>
      <c r="O83" s="648"/>
      <c r="P83" s="648"/>
      <c r="Q83" s="649"/>
    </row>
    <row r="84" spans="1:17" ht="60.75" thickBot="1" x14ac:dyDescent="0.25">
      <c r="A84" s="51"/>
      <c r="B84" s="101">
        <v>2008</v>
      </c>
      <c r="C84" s="7">
        <v>2009</v>
      </c>
      <c r="D84" s="10">
        <v>2010</v>
      </c>
      <c r="E84" s="18">
        <v>2011</v>
      </c>
      <c r="F84" s="312">
        <v>2012</v>
      </c>
      <c r="G84" s="148" t="s">
        <v>172</v>
      </c>
      <c r="H84" s="10" t="s">
        <v>76</v>
      </c>
      <c r="I84" s="39" t="s">
        <v>77</v>
      </c>
      <c r="J84" s="9" t="s">
        <v>0</v>
      </c>
      <c r="K84" s="359" t="s">
        <v>65</v>
      </c>
      <c r="L84" s="360" t="s">
        <v>66</v>
      </c>
      <c r="M84" s="360" t="s">
        <v>67</v>
      </c>
      <c r="N84" s="360" t="s">
        <v>68</v>
      </c>
      <c r="O84" s="360" t="s">
        <v>69</v>
      </c>
      <c r="P84" s="361" t="s">
        <v>70</v>
      </c>
      <c r="Q84" s="9" t="s">
        <v>71</v>
      </c>
    </row>
    <row r="85" spans="1:17" x14ac:dyDescent="0.2">
      <c r="A85" s="19" t="s">
        <v>4</v>
      </c>
      <c r="B85" s="195">
        <v>270</v>
      </c>
      <c r="C85" s="144">
        <v>305.16699999999997</v>
      </c>
      <c r="D85" s="155">
        <v>202.667</v>
      </c>
      <c r="E85" s="153">
        <v>215.333</v>
      </c>
      <c r="F85" s="327">
        <v>249.667</v>
      </c>
      <c r="G85" s="142">
        <v>289.52</v>
      </c>
      <c r="H85" s="142">
        <v>303.38</v>
      </c>
      <c r="I85" s="142">
        <v>317.90000000000003</v>
      </c>
      <c r="J85" s="356">
        <f>RATE(4,,-C85,I85)</f>
        <v>1.0271821703974121E-2</v>
      </c>
      <c r="K85" s="92">
        <v>297</v>
      </c>
      <c r="L85" s="138">
        <v>328</v>
      </c>
      <c r="M85" s="138">
        <v>341</v>
      </c>
      <c r="N85" s="138">
        <v>367</v>
      </c>
      <c r="O85" s="138">
        <v>374</v>
      </c>
      <c r="P85" s="342">
        <v>399</v>
      </c>
      <c r="Q85" s="447">
        <f t="shared" ref="Q85:Q88" si="10">RATE(5,,-K85,P85)</f>
        <v>6.0823884359064231E-2</v>
      </c>
    </row>
    <row r="86" spans="1:17" s="335" customFormat="1" x14ac:dyDescent="0.2">
      <c r="A86" s="331" t="s">
        <v>203</v>
      </c>
      <c r="B86" s="332"/>
      <c r="C86" s="333"/>
      <c r="D86" s="334"/>
      <c r="E86" s="345"/>
      <c r="F86" s="355"/>
      <c r="G86" s="354"/>
      <c r="H86" s="340"/>
      <c r="I86" s="348"/>
      <c r="J86" s="357"/>
      <c r="K86" s="363"/>
      <c r="L86" s="341"/>
      <c r="M86" s="341">
        <v>46</v>
      </c>
      <c r="N86" s="341">
        <v>89</v>
      </c>
      <c r="O86" s="341">
        <v>109</v>
      </c>
      <c r="P86" s="341">
        <f t="shared" ref="P86" si="11">O96*P16</f>
        <v>140</v>
      </c>
      <c r="Q86" s="556"/>
    </row>
    <row r="87" spans="1:17" ht="13.5" thickBot="1" x14ac:dyDescent="0.25">
      <c r="A87" s="21" t="s">
        <v>5</v>
      </c>
      <c r="B87" s="197">
        <v>96.332999999999998</v>
      </c>
      <c r="C87" s="201">
        <v>111.167</v>
      </c>
      <c r="D87" s="156">
        <v>98.75</v>
      </c>
      <c r="E87" s="154">
        <v>118.833</v>
      </c>
      <c r="F87" s="328">
        <f>6.667+164.833</f>
        <v>171.5</v>
      </c>
      <c r="G87" s="198">
        <v>90.86</v>
      </c>
      <c r="H87" s="198">
        <v>97.02000000000001</v>
      </c>
      <c r="I87" s="159">
        <v>103.61999999999999</v>
      </c>
      <c r="J87" s="358">
        <f>RATE(4,,-C87,I87)</f>
        <v>-1.7422249940679216E-2</v>
      </c>
      <c r="K87" s="364">
        <v>144</v>
      </c>
      <c r="L87" s="343">
        <v>152</v>
      </c>
      <c r="M87" s="343">
        <v>108</v>
      </c>
      <c r="N87" s="343">
        <v>69</v>
      </c>
      <c r="O87" s="343">
        <v>52</v>
      </c>
      <c r="P87" s="344">
        <v>27</v>
      </c>
      <c r="Q87" s="337">
        <f t="shared" si="10"/>
        <v>-0.28451545944051809</v>
      </c>
    </row>
    <row r="88" spans="1:17" ht="13.5" thickBot="1" x14ac:dyDescent="0.25">
      <c r="A88" s="23" t="s">
        <v>2</v>
      </c>
      <c r="B88" s="24">
        <f t="shared" ref="B88:C88" si="12">B85+B87</f>
        <v>366.33299999999997</v>
      </c>
      <c r="C88" s="14">
        <f t="shared" si="12"/>
        <v>416.33399999999995</v>
      </c>
      <c r="D88" s="157">
        <f>D85+D87</f>
        <v>301.41700000000003</v>
      </c>
      <c r="E88" s="84">
        <f>E85+E87</f>
        <v>334.166</v>
      </c>
      <c r="F88" s="313">
        <f>SUM(F85:F87)</f>
        <v>421.16700000000003</v>
      </c>
      <c r="G88" s="25">
        <f>G85+G87</f>
        <v>380.38</v>
      </c>
      <c r="H88" s="25">
        <f>H85+H87</f>
        <v>400.4</v>
      </c>
      <c r="I88" s="15">
        <f>I85+I87</f>
        <v>421.52000000000004</v>
      </c>
      <c r="J88" s="11">
        <f>RATE(4,,-C88,I88)</f>
        <v>3.0996447890973187E-3</v>
      </c>
      <c r="K88" s="338">
        <f>SUM(K85:K87)</f>
        <v>441</v>
      </c>
      <c r="L88" s="338">
        <f t="shared" ref="L88:P88" si="13">SUM(L85:L87)</f>
        <v>480</v>
      </c>
      <c r="M88" s="338">
        <f t="shared" si="13"/>
        <v>495</v>
      </c>
      <c r="N88" s="338">
        <f t="shared" si="13"/>
        <v>525</v>
      </c>
      <c r="O88" s="338">
        <f t="shared" si="13"/>
        <v>535</v>
      </c>
      <c r="P88" s="338">
        <f t="shared" si="13"/>
        <v>566</v>
      </c>
      <c r="Q88" s="11">
        <f t="shared" si="10"/>
        <v>5.1176318626138216E-2</v>
      </c>
    </row>
    <row r="91" spans="1:17" ht="15.75" x14ac:dyDescent="0.25">
      <c r="A91" s="644" t="s">
        <v>110</v>
      </c>
      <c r="B91" s="644"/>
      <c r="C91" s="644"/>
      <c r="D91" s="644"/>
      <c r="E91" s="644"/>
      <c r="F91" s="644"/>
      <c r="G91" s="644"/>
      <c r="H91" s="644"/>
      <c r="I91" s="644"/>
      <c r="J91" s="644"/>
      <c r="K91" s="644"/>
      <c r="L91" s="644"/>
      <c r="M91" s="644"/>
      <c r="N91" s="644"/>
      <c r="O91" s="644"/>
    </row>
    <row r="92" spans="1:17" ht="16.5" thickBot="1" x14ac:dyDescent="0.3">
      <c r="A92" s="643" t="s">
        <v>7</v>
      </c>
      <c r="B92" s="643"/>
      <c r="C92" s="643"/>
      <c r="D92" s="643"/>
      <c r="E92" s="643"/>
      <c r="F92" s="643"/>
      <c r="G92" s="643"/>
      <c r="H92" s="643"/>
      <c r="I92" s="643"/>
      <c r="J92" s="643"/>
      <c r="K92" s="643"/>
      <c r="L92" s="643"/>
      <c r="M92" s="643"/>
      <c r="N92" s="643"/>
      <c r="O92" s="643"/>
      <c r="P92" s="43"/>
      <c r="Q92" s="43"/>
    </row>
    <row r="93" spans="1:17" ht="16.5" thickBot="1" x14ac:dyDescent="0.3">
      <c r="A93" s="52"/>
      <c r="B93" s="647" t="s">
        <v>75</v>
      </c>
      <c r="C93" s="645"/>
      <c r="D93" s="645"/>
      <c r="E93" s="645"/>
      <c r="F93" s="645"/>
      <c r="G93" s="647" t="s">
        <v>202</v>
      </c>
      <c r="H93" s="645"/>
      <c r="I93" s="646"/>
      <c r="J93" s="645" t="s">
        <v>8</v>
      </c>
      <c r="K93" s="645"/>
      <c r="L93" s="645"/>
      <c r="M93" s="645"/>
      <c r="N93" s="645"/>
      <c r="O93" s="646"/>
      <c r="P93" s="42"/>
    </row>
    <row r="94" spans="1:17" ht="36.75" customHeight="1" thickBot="1" x14ac:dyDescent="0.25">
      <c r="A94" s="51"/>
      <c r="B94" s="367">
        <v>2008</v>
      </c>
      <c r="C94" s="368">
        <v>2009</v>
      </c>
      <c r="D94" s="360">
        <v>2010</v>
      </c>
      <c r="E94" s="369">
        <v>2011</v>
      </c>
      <c r="F94" s="396">
        <v>2012</v>
      </c>
      <c r="G94" s="397" t="s">
        <v>172</v>
      </c>
      <c r="H94" s="360" t="s">
        <v>76</v>
      </c>
      <c r="I94" s="369" t="s">
        <v>77</v>
      </c>
      <c r="J94" s="359" t="s">
        <v>65</v>
      </c>
      <c r="K94" s="360" t="s">
        <v>66</v>
      </c>
      <c r="L94" s="360" t="s">
        <v>67</v>
      </c>
      <c r="M94" s="360" t="s">
        <v>68</v>
      </c>
      <c r="N94" s="360" t="s">
        <v>69</v>
      </c>
      <c r="O94" s="369" t="s">
        <v>70</v>
      </c>
      <c r="P94" s="55"/>
    </row>
    <row r="95" spans="1:17" x14ac:dyDescent="0.2">
      <c r="A95" s="40" t="s">
        <v>4</v>
      </c>
      <c r="B95" s="97">
        <f t="shared" ref="B95:I95" si="14">B85/B15</f>
        <v>0.15910430170889805</v>
      </c>
      <c r="C95" s="149">
        <f t="shared" si="14"/>
        <v>0.21415228070175438</v>
      </c>
      <c r="D95" s="373">
        <f t="shared" si="14"/>
        <v>0.16117723873623468</v>
      </c>
      <c r="E95" s="58">
        <f t="shared" si="14"/>
        <v>0.16856907337228172</v>
      </c>
      <c r="F95" s="56">
        <f t="shared" si="14"/>
        <v>0.19557443581811756</v>
      </c>
      <c r="G95" s="97">
        <f t="shared" si="14"/>
        <v>0.21999999999999997</v>
      </c>
      <c r="H95" s="149">
        <f t="shared" si="14"/>
        <v>0.22</v>
      </c>
      <c r="I95" s="57">
        <f t="shared" si="14"/>
        <v>0.22000000000000003</v>
      </c>
      <c r="J95" s="97">
        <v>0.2</v>
      </c>
      <c r="K95" s="149">
        <v>0.21</v>
      </c>
      <c r="L95" s="149">
        <v>0.21</v>
      </c>
      <c r="M95" s="149">
        <v>0.22</v>
      </c>
      <c r="N95" s="149">
        <v>0.22</v>
      </c>
      <c r="O95" s="57">
        <v>0.23</v>
      </c>
    </row>
    <row r="96" spans="1:17" x14ac:dyDescent="0.2">
      <c r="A96" s="366" t="s">
        <v>203</v>
      </c>
      <c r="B96" s="374"/>
      <c r="C96" s="371"/>
      <c r="D96" s="372"/>
      <c r="E96" s="380"/>
      <c r="F96" s="382"/>
      <c r="G96" s="374"/>
      <c r="H96" s="371"/>
      <c r="I96" s="375"/>
      <c r="J96" s="374"/>
      <c r="K96" s="371"/>
      <c r="L96" s="371">
        <v>0.28000000000000003</v>
      </c>
      <c r="M96" s="371">
        <v>0.28000000000000003</v>
      </c>
      <c r="N96" s="371">
        <v>0.28000000000000003</v>
      </c>
      <c r="O96" s="371">
        <v>0.28000000000000003</v>
      </c>
    </row>
    <row r="97" spans="1:17" ht="13.5" thickBot="1" x14ac:dyDescent="0.25">
      <c r="A97" s="54" t="s">
        <v>5</v>
      </c>
      <c r="B97" s="376">
        <f t="shared" ref="B97:E98" si="15">B87/B17</f>
        <v>0.19305210420841684</v>
      </c>
      <c r="C97" s="377">
        <f t="shared" si="15"/>
        <v>0.24062121212121212</v>
      </c>
      <c r="D97" s="378">
        <f t="shared" si="15"/>
        <v>0.25616083009079116</v>
      </c>
      <c r="E97" s="381">
        <f t="shared" si="15"/>
        <v>0.22431901840490798</v>
      </c>
      <c r="F97" s="383">
        <f>F87/F17</f>
        <v>0.28468652113071174</v>
      </c>
      <c r="G97" s="376">
        <f t="shared" ref="G97:I98" si="16">G87/G17</f>
        <v>0.22</v>
      </c>
      <c r="H97" s="377">
        <f t="shared" si="16"/>
        <v>0.22000000000000003</v>
      </c>
      <c r="I97" s="379">
        <f t="shared" si="16"/>
        <v>0.21999999999999997</v>
      </c>
      <c r="J97" s="376">
        <v>0.28000000000000003</v>
      </c>
      <c r="K97" s="377">
        <v>0.28000000000000003</v>
      </c>
      <c r="L97" s="377">
        <v>0.27</v>
      </c>
      <c r="M97" s="377">
        <v>0.26</v>
      </c>
      <c r="N97" s="377">
        <v>0.26</v>
      </c>
      <c r="O97" s="379">
        <v>0.26</v>
      </c>
    </row>
    <row r="98" spans="1:17" ht="13.5" thickBot="1" x14ac:dyDescent="0.25">
      <c r="A98" s="23" t="s">
        <v>2</v>
      </c>
      <c r="B98" s="217">
        <f t="shared" si="15"/>
        <v>0.16681830601092895</v>
      </c>
      <c r="C98" s="218">
        <f t="shared" si="15"/>
        <v>0.22063275039745625</v>
      </c>
      <c r="D98" s="370">
        <f t="shared" si="15"/>
        <v>0.18346453290093173</v>
      </c>
      <c r="E98" s="220">
        <f t="shared" si="15"/>
        <v>0.18491152173540132</v>
      </c>
      <c r="F98" s="219">
        <f>F88/F18</f>
        <v>0.22414422565194253</v>
      </c>
      <c r="G98" s="221">
        <f t="shared" si="16"/>
        <v>0.22</v>
      </c>
      <c r="H98" s="219">
        <f t="shared" si="16"/>
        <v>0.22</v>
      </c>
      <c r="I98" s="220">
        <f t="shared" si="16"/>
        <v>0.22000000000000003</v>
      </c>
      <c r="J98" s="221">
        <f>K88/K18</f>
        <v>0.22061030515257629</v>
      </c>
      <c r="K98" s="221">
        <f t="shared" ref="K98:O98" si="17">L88/L18</f>
        <v>0.22813688212927757</v>
      </c>
      <c r="L98" s="221">
        <f t="shared" si="17"/>
        <v>0.22592423550890003</v>
      </c>
      <c r="M98" s="221">
        <f t="shared" si="17"/>
        <v>0.2334370831480658</v>
      </c>
      <c r="N98" s="221">
        <f t="shared" si="17"/>
        <v>0.23362445414847161</v>
      </c>
      <c r="O98" s="221">
        <f t="shared" si="17"/>
        <v>0.24177701836821872</v>
      </c>
    </row>
    <row r="101" spans="1:17" ht="15.75" x14ac:dyDescent="0.25">
      <c r="A101" s="637" t="s">
        <v>182</v>
      </c>
      <c r="B101" s="637"/>
      <c r="C101" s="637"/>
      <c r="D101" s="637"/>
      <c r="E101" s="637"/>
      <c r="F101" s="637"/>
      <c r="G101" s="637"/>
      <c r="H101" s="637"/>
      <c r="I101" s="637"/>
      <c r="J101" s="637"/>
      <c r="K101" s="637"/>
      <c r="L101" s="637"/>
      <c r="M101" s="637"/>
      <c r="N101" s="637"/>
      <c r="O101" s="637"/>
      <c r="P101" s="637"/>
      <c r="Q101" s="637"/>
    </row>
    <row r="102" spans="1:17" ht="16.5" thickBot="1" x14ac:dyDescent="0.3">
      <c r="A102" s="637" t="s">
        <v>184</v>
      </c>
      <c r="B102" s="637"/>
      <c r="C102" s="637"/>
      <c r="D102" s="637"/>
      <c r="E102" s="637"/>
      <c r="F102" s="637"/>
      <c r="G102" s="637"/>
      <c r="H102" s="637"/>
      <c r="I102" s="637"/>
      <c r="J102" s="637"/>
      <c r="K102" s="637"/>
      <c r="L102" s="637"/>
      <c r="M102" s="637"/>
      <c r="N102" s="637"/>
      <c r="O102" s="637"/>
      <c r="P102" s="637"/>
      <c r="Q102" s="637"/>
    </row>
    <row r="103" spans="1:17" s="269" customFormat="1" ht="16.5" thickBot="1" x14ac:dyDescent="0.3">
      <c r="A103" s="270"/>
      <c r="B103" s="638" t="s">
        <v>178</v>
      </c>
      <c r="C103" s="639"/>
      <c r="D103" s="639"/>
      <c r="E103" s="640"/>
      <c r="F103" s="638" t="s">
        <v>183</v>
      </c>
      <c r="G103" s="639"/>
      <c r="H103" s="639"/>
      <c r="I103" s="640"/>
      <c r="J103" s="638" t="s">
        <v>3</v>
      </c>
      <c r="K103" s="641"/>
      <c r="L103" s="641"/>
      <c r="M103" s="641"/>
      <c r="N103" s="641"/>
      <c r="O103" s="641"/>
      <c r="P103" s="642"/>
    </row>
    <row r="104" spans="1:17" s="269" customFormat="1" ht="60.75" thickBot="1" x14ac:dyDescent="0.25">
      <c r="A104" s="271"/>
      <c r="B104" s="272">
        <v>2010</v>
      </c>
      <c r="C104" s="273">
        <v>2011</v>
      </c>
      <c r="D104" s="274">
        <v>2012</v>
      </c>
      <c r="E104" s="275" t="s">
        <v>180</v>
      </c>
      <c r="F104" s="274" t="s">
        <v>172</v>
      </c>
      <c r="G104" s="398" t="s">
        <v>76</v>
      </c>
      <c r="H104" s="399" t="s">
        <v>77</v>
      </c>
      <c r="I104" s="385" t="s">
        <v>181</v>
      </c>
      <c r="J104" s="272" t="s">
        <v>65</v>
      </c>
      <c r="K104" s="274" t="s">
        <v>66</v>
      </c>
      <c r="L104" s="274" t="s">
        <v>67</v>
      </c>
      <c r="M104" s="274" t="s">
        <v>68</v>
      </c>
      <c r="N104" s="274" t="s">
        <v>69</v>
      </c>
      <c r="O104" s="276" t="s">
        <v>70</v>
      </c>
      <c r="P104" s="385" t="s">
        <v>71</v>
      </c>
    </row>
    <row r="105" spans="1:17" s="269" customFormat="1" ht="48" x14ac:dyDescent="0.2">
      <c r="A105" s="117" t="s">
        <v>78</v>
      </c>
      <c r="B105" s="296">
        <v>0</v>
      </c>
      <c r="C105" s="297">
        <v>0</v>
      </c>
      <c r="D105" s="299">
        <v>0</v>
      </c>
      <c r="E105" s="298">
        <v>0</v>
      </c>
      <c r="F105" s="386">
        <v>0</v>
      </c>
      <c r="G105" s="320"/>
      <c r="H105" s="321"/>
      <c r="I105" s="387">
        <v>0</v>
      </c>
      <c r="J105" s="286">
        <v>0</v>
      </c>
      <c r="K105" s="286">
        <v>0</v>
      </c>
      <c r="L105" s="286">
        <v>0</v>
      </c>
      <c r="M105" s="286">
        <v>0</v>
      </c>
      <c r="N105" s="286">
        <v>0</v>
      </c>
      <c r="O105" s="287">
        <v>0</v>
      </c>
      <c r="P105" s="387">
        <v>0</v>
      </c>
    </row>
    <row r="106" spans="1:17" s="269" customFormat="1" ht="24" x14ac:dyDescent="0.2">
      <c r="A106" s="118" t="s">
        <v>79</v>
      </c>
      <c r="B106" s="300">
        <v>0</v>
      </c>
      <c r="C106" s="301">
        <v>0</v>
      </c>
      <c r="D106" s="302">
        <v>0</v>
      </c>
      <c r="E106" s="285">
        <v>0</v>
      </c>
      <c r="F106" s="388">
        <v>0</v>
      </c>
      <c r="G106" s="323"/>
      <c r="H106" s="324"/>
      <c r="I106" s="285">
        <v>0</v>
      </c>
      <c r="J106" s="283">
        <v>0</v>
      </c>
      <c r="K106" s="283">
        <v>0</v>
      </c>
      <c r="L106" s="283">
        <v>0</v>
      </c>
      <c r="M106" s="283">
        <v>0</v>
      </c>
      <c r="N106" s="283">
        <v>0</v>
      </c>
      <c r="O106" s="284">
        <v>0</v>
      </c>
      <c r="P106" s="285">
        <v>0</v>
      </c>
    </row>
    <row r="107" spans="1:17" s="269" customFormat="1" ht="24" x14ac:dyDescent="0.2">
      <c r="A107" s="118" t="s">
        <v>80</v>
      </c>
      <c r="B107" s="300">
        <v>0</v>
      </c>
      <c r="C107" s="301">
        <v>0</v>
      </c>
      <c r="D107" s="302">
        <v>0</v>
      </c>
      <c r="E107" s="285">
        <v>0</v>
      </c>
      <c r="F107" s="388">
        <v>0</v>
      </c>
      <c r="G107" s="323"/>
      <c r="H107" s="324"/>
      <c r="I107" s="285">
        <v>0</v>
      </c>
      <c r="J107" s="283">
        <v>0</v>
      </c>
      <c r="K107" s="283">
        <v>0</v>
      </c>
      <c r="L107" s="283">
        <v>0</v>
      </c>
      <c r="M107" s="283">
        <v>0</v>
      </c>
      <c r="N107" s="283">
        <v>0</v>
      </c>
      <c r="O107" s="284">
        <v>0</v>
      </c>
      <c r="P107" s="285">
        <v>0</v>
      </c>
    </row>
    <row r="108" spans="1:17" s="269" customFormat="1" ht="24" x14ac:dyDescent="0.2">
      <c r="A108" s="118" t="s">
        <v>81</v>
      </c>
      <c r="B108" s="300">
        <v>0</v>
      </c>
      <c r="C108" s="301">
        <v>0</v>
      </c>
      <c r="D108" s="302">
        <v>0</v>
      </c>
      <c r="E108" s="285">
        <v>0</v>
      </c>
      <c r="F108" s="388">
        <v>0</v>
      </c>
      <c r="G108" s="323"/>
      <c r="H108" s="324"/>
      <c r="I108" s="285">
        <v>0</v>
      </c>
      <c r="J108" s="283">
        <v>0</v>
      </c>
      <c r="K108" s="283">
        <v>0</v>
      </c>
      <c r="L108" s="283">
        <v>0</v>
      </c>
      <c r="M108" s="283">
        <v>0</v>
      </c>
      <c r="N108" s="283">
        <v>0</v>
      </c>
      <c r="O108" s="284">
        <v>0</v>
      </c>
      <c r="P108" s="285">
        <v>0</v>
      </c>
    </row>
    <row r="109" spans="1:17" s="269" customFormat="1" ht="24" x14ac:dyDescent="0.2">
      <c r="A109" s="118" t="s">
        <v>82</v>
      </c>
      <c r="B109" s="300">
        <v>1</v>
      </c>
      <c r="C109" s="301">
        <v>0</v>
      </c>
      <c r="D109" s="302">
        <v>0</v>
      </c>
      <c r="E109" s="285">
        <v>0</v>
      </c>
      <c r="F109" s="388">
        <v>0</v>
      </c>
      <c r="G109" s="323"/>
      <c r="H109" s="324"/>
      <c r="I109" s="285">
        <v>0</v>
      </c>
      <c r="J109" s="283">
        <v>0</v>
      </c>
      <c r="K109" s="283">
        <v>0</v>
      </c>
      <c r="L109" s="283">
        <v>0</v>
      </c>
      <c r="M109" s="283">
        <v>0</v>
      </c>
      <c r="N109" s="283">
        <v>0</v>
      </c>
      <c r="O109" s="284">
        <v>0</v>
      </c>
      <c r="P109" s="285">
        <v>0</v>
      </c>
    </row>
    <row r="110" spans="1:17" s="269" customFormat="1" x14ac:dyDescent="0.2">
      <c r="A110" s="118" t="s">
        <v>83</v>
      </c>
      <c r="B110" s="300">
        <v>95.5</v>
      </c>
      <c r="C110" s="301">
        <v>98.832999999999998</v>
      </c>
      <c r="D110" s="384">
        <v>115.334</v>
      </c>
      <c r="E110" s="285">
        <f>(POWER(D110/B110,1/2))-1</f>
        <v>9.8947616528806792E-2</v>
      </c>
      <c r="F110" s="388">
        <v>98.832999999999998</v>
      </c>
      <c r="G110" s="323"/>
      <c r="H110" s="324"/>
      <c r="I110" s="285">
        <v>0</v>
      </c>
      <c r="J110" s="283">
        <v>127</v>
      </c>
      <c r="K110" s="283">
        <v>135</v>
      </c>
      <c r="L110" s="283">
        <v>138</v>
      </c>
      <c r="M110" s="283">
        <v>142</v>
      </c>
      <c r="N110" s="283">
        <v>144</v>
      </c>
      <c r="O110" s="284">
        <v>149</v>
      </c>
      <c r="P110" s="285">
        <f t="shared" ref="P110:P137" si="18">(POWER(O110/J110,1/5))-1</f>
        <v>3.2467784483359408E-2</v>
      </c>
    </row>
    <row r="111" spans="1:17" s="269" customFormat="1" ht="24" x14ac:dyDescent="0.2">
      <c r="A111" s="118" t="s">
        <v>84</v>
      </c>
      <c r="B111" s="300">
        <v>3.75</v>
      </c>
      <c r="C111" s="301">
        <v>2</v>
      </c>
      <c r="D111" s="384">
        <v>4</v>
      </c>
      <c r="E111" s="285">
        <f>(POWER(D111/B111,1/2))-1</f>
        <v>3.2795558988644391E-2</v>
      </c>
      <c r="F111" s="388">
        <v>2</v>
      </c>
      <c r="G111" s="323"/>
      <c r="H111" s="324"/>
      <c r="I111" s="285">
        <v>0</v>
      </c>
      <c r="J111" s="283">
        <v>6</v>
      </c>
      <c r="K111" s="283">
        <v>7</v>
      </c>
      <c r="L111" s="283">
        <v>7</v>
      </c>
      <c r="M111" s="283">
        <v>7</v>
      </c>
      <c r="N111" s="283">
        <v>7</v>
      </c>
      <c r="O111" s="284">
        <v>8</v>
      </c>
      <c r="P111" s="285">
        <f t="shared" si="18"/>
        <v>5.9223841048812176E-2</v>
      </c>
    </row>
    <row r="112" spans="1:17" s="269" customFormat="1" ht="36" x14ac:dyDescent="0.2">
      <c r="A112" s="118" t="s">
        <v>85</v>
      </c>
      <c r="B112" s="300">
        <v>90.582999999999998</v>
      </c>
      <c r="C112" s="301">
        <v>91</v>
      </c>
      <c r="D112" s="384">
        <v>116.5</v>
      </c>
      <c r="E112" s="285">
        <f>(POWER(D112/B112,1/2))-1</f>
        <v>0.13406934901061773</v>
      </c>
      <c r="F112" s="388">
        <v>91</v>
      </c>
      <c r="G112" s="323"/>
      <c r="H112" s="324"/>
      <c r="I112" s="285">
        <v>0</v>
      </c>
      <c r="J112" s="283">
        <v>127</v>
      </c>
      <c r="K112" s="283">
        <v>133</v>
      </c>
      <c r="L112" s="283">
        <v>136</v>
      </c>
      <c r="M112" s="283">
        <v>143</v>
      </c>
      <c r="N112" s="283">
        <v>144</v>
      </c>
      <c r="O112" s="284">
        <v>153</v>
      </c>
      <c r="P112" s="285">
        <f t="shared" si="18"/>
        <v>3.7952649848320696E-2</v>
      </c>
    </row>
    <row r="113" spans="1:16" s="269" customFormat="1" ht="24" x14ac:dyDescent="0.2">
      <c r="A113" s="118" t="s">
        <v>86</v>
      </c>
      <c r="B113" s="300">
        <v>0</v>
      </c>
      <c r="C113" s="301">
        <v>0</v>
      </c>
      <c r="D113" s="302">
        <v>0</v>
      </c>
      <c r="E113" s="285">
        <v>0</v>
      </c>
      <c r="F113" s="388">
        <v>0</v>
      </c>
      <c r="G113" s="323"/>
      <c r="H113" s="324"/>
      <c r="I113" s="285">
        <v>0</v>
      </c>
      <c r="J113" s="283">
        <v>0</v>
      </c>
      <c r="K113" s="283">
        <v>0</v>
      </c>
      <c r="L113" s="283">
        <v>0</v>
      </c>
      <c r="M113" s="283">
        <v>0</v>
      </c>
      <c r="N113" s="283">
        <v>0</v>
      </c>
      <c r="O113" s="284">
        <v>0</v>
      </c>
      <c r="P113" s="285">
        <v>0</v>
      </c>
    </row>
    <row r="114" spans="1:16" s="269" customFormat="1" x14ac:dyDescent="0.2">
      <c r="A114" s="118" t="s">
        <v>87</v>
      </c>
      <c r="B114" s="300">
        <v>0</v>
      </c>
      <c r="C114" s="301">
        <v>0</v>
      </c>
      <c r="D114" s="302">
        <v>0</v>
      </c>
      <c r="E114" s="285">
        <v>0</v>
      </c>
      <c r="F114" s="388">
        <v>0</v>
      </c>
      <c r="G114" s="323"/>
      <c r="H114" s="324"/>
      <c r="I114" s="285">
        <v>0</v>
      </c>
      <c r="J114" s="283">
        <v>0</v>
      </c>
      <c r="K114" s="283">
        <v>0</v>
      </c>
      <c r="L114" s="283">
        <v>0</v>
      </c>
      <c r="M114" s="283">
        <v>0</v>
      </c>
      <c r="N114" s="283">
        <v>0</v>
      </c>
      <c r="O114" s="284">
        <v>0</v>
      </c>
      <c r="P114" s="285">
        <v>0</v>
      </c>
    </row>
    <row r="115" spans="1:16" s="269" customFormat="1" x14ac:dyDescent="0.2">
      <c r="A115" s="118" t="s">
        <v>88</v>
      </c>
      <c r="B115" s="300">
        <v>0</v>
      </c>
      <c r="C115" s="301">
        <v>0</v>
      </c>
      <c r="D115" s="302">
        <v>0</v>
      </c>
      <c r="E115" s="285">
        <v>0</v>
      </c>
      <c r="F115" s="388">
        <v>0</v>
      </c>
      <c r="G115" s="323"/>
      <c r="H115" s="324"/>
      <c r="I115" s="285">
        <v>0</v>
      </c>
      <c r="J115" s="283">
        <v>0</v>
      </c>
      <c r="K115" s="283">
        <v>0</v>
      </c>
      <c r="L115" s="283">
        <v>0</v>
      </c>
      <c r="M115" s="283">
        <v>0</v>
      </c>
      <c r="N115" s="283">
        <v>0</v>
      </c>
      <c r="O115" s="284">
        <v>0</v>
      </c>
      <c r="P115" s="285">
        <v>0</v>
      </c>
    </row>
    <row r="116" spans="1:16" s="269" customFormat="1" ht="36" x14ac:dyDescent="0.2">
      <c r="A116" s="118" t="s">
        <v>89</v>
      </c>
      <c r="B116" s="300">
        <v>0</v>
      </c>
      <c r="C116" s="301">
        <v>0</v>
      </c>
      <c r="D116" s="302">
        <v>0</v>
      </c>
      <c r="E116" s="285">
        <v>0</v>
      </c>
      <c r="F116" s="388">
        <v>0</v>
      </c>
      <c r="G116" s="323"/>
      <c r="H116" s="324"/>
      <c r="I116" s="285">
        <v>0</v>
      </c>
      <c r="J116" s="283">
        <v>0</v>
      </c>
      <c r="K116" s="283">
        <v>0</v>
      </c>
      <c r="L116" s="283">
        <v>0</v>
      </c>
      <c r="M116" s="283">
        <v>0</v>
      </c>
      <c r="N116" s="283">
        <v>0</v>
      </c>
      <c r="O116" s="284">
        <v>0</v>
      </c>
      <c r="P116" s="285">
        <v>0</v>
      </c>
    </row>
    <row r="117" spans="1:16" s="269" customFormat="1" ht="24" x14ac:dyDescent="0.2">
      <c r="A117" s="118" t="s">
        <v>90</v>
      </c>
      <c r="B117" s="300">
        <v>0</v>
      </c>
      <c r="C117" s="301">
        <v>0</v>
      </c>
      <c r="D117" s="302">
        <v>0</v>
      </c>
      <c r="E117" s="285">
        <v>0</v>
      </c>
      <c r="F117" s="388">
        <v>0</v>
      </c>
      <c r="G117" s="323"/>
      <c r="H117" s="324"/>
      <c r="I117" s="285">
        <v>0</v>
      </c>
      <c r="J117" s="283">
        <v>0</v>
      </c>
      <c r="K117" s="283">
        <v>0</v>
      </c>
      <c r="L117" s="283">
        <v>0</v>
      </c>
      <c r="M117" s="283">
        <v>0</v>
      </c>
      <c r="N117" s="283">
        <v>0</v>
      </c>
      <c r="O117" s="284">
        <v>0</v>
      </c>
      <c r="P117" s="285">
        <v>0</v>
      </c>
    </row>
    <row r="118" spans="1:16" s="269" customFormat="1" ht="24" x14ac:dyDescent="0.2">
      <c r="A118" s="118" t="s">
        <v>91</v>
      </c>
      <c r="B118" s="300">
        <v>65.5</v>
      </c>
      <c r="C118" s="301">
        <v>69.5</v>
      </c>
      <c r="D118" s="384">
        <v>90.5</v>
      </c>
      <c r="E118" s="285">
        <f>(POWER(D118/B118,1/2))-1</f>
        <v>0.17544859067207907</v>
      </c>
      <c r="F118" s="388">
        <v>69.5</v>
      </c>
      <c r="G118" s="323"/>
      <c r="H118" s="324"/>
      <c r="I118" s="285">
        <v>0</v>
      </c>
      <c r="J118" s="283">
        <v>102</v>
      </c>
      <c r="K118" s="283">
        <v>114</v>
      </c>
      <c r="L118" s="283">
        <v>116</v>
      </c>
      <c r="M118" s="283">
        <v>123</v>
      </c>
      <c r="N118" s="283">
        <v>125</v>
      </c>
      <c r="O118" s="284">
        <v>132</v>
      </c>
      <c r="P118" s="285">
        <f t="shared" si="18"/>
        <v>5.291848906511043E-2</v>
      </c>
    </row>
    <row r="119" spans="1:16" s="269" customFormat="1" ht="24" x14ac:dyDescent="0.2">
      <c r="A119" s="118" t="s">
        <v>92</v>
      </c>
      <c r="B119" s="300">
        <v>0</v>
      </c>
      <c r="C119" s="301">
        <v>0</v>
      </c>
      <c r="D119" s="302">
        <v>0</v>
      </c>
      <c r="E119" s="285">
        <v>0</v>
      </c>
      <c r="F119" s="388">
        <v>0</v>
      </c>
      <c r="G119" s="323"/>
      <c r="H119" s="324"/>
      <c r="I119" s="285">
        <v>0</v>
      </c>
      <c r="J119" s="283">
        <v>0</v>
      </c>
      <c r="K119" s="283">
        <v>0</v>
      </c>
      <c r="L119" s="283">
        <v>0</v>
      </c>
      <c r="M119" s="283">
        <v>0</v>
      </c>
      <c r="N119" s="283">
        <v>0</v>
      </c>
      <c r="O119" s="284">
        <v>0</v>
      </c>
      <c r="P119" s="285">
        <v>0</v>
      </c>
    </row>
    <row r="120" spans="1:16" s="269" customFormat="1" ht="24" x14ac:dyDescent="0.2">
      <c r="A120" s="118" t="s">
        <v>93</v>
      </c>
      <c r="B120" s="300">
        <v>0</v>
      </c>
      <c r="C120" s="301">
        <v>0</v>
      </c>
      <c r="D120" s="302">
        <v>0</v>
      </c>
      <c r="E120" s="285">
        <v>0</v>
      </c>
      <c r="F120" s="388">
        <v>0</v>
      </c>
      <c r="G120" s="323"/>
      <c r="H120" s="324"/>
      <c r="I120" s="285">
        <v>0</v>
      </c>
      <c r="J120" s="283">
        <v>0</v>
      </c>
      <c r="K120" s="283">
        <v>0</v>
      </c>
      <c r="L120" s="283">
        <v>0</v>
      </c>
      <c r="M120" s="283">
        <v>0</v>
      </c>
      <c r="N120" s="283">
        <v>0</v>
      </c>
      <c r="O120" s="284">
        <v>0</v>
      </c>
      <c r="P120" s="285">
        <v>0</v>
      </c>
    </row>
    <row r="121" spans="1:16" s="269" customFormat="1" ht="24" x14ac:dyDescent="0.2">
      <c r="A121" s="118" t="s">
        <v>94</v>
      </c>
      <c r="B121" s="300">
        <v>0</v>
      </c>
      <c r="C121" s="301">
        <v>0</v>
      </c>
      <c r="D121" s="302">
        <v>0</v>
      </c>
      <c r="E121" s="285">
        <v>0</v>
      </c>
      <c r="F121" s="388">
        <v>0</v>
      </c>
      <c r="G121" s="323"/>
      <c r="H121" s="324"/>
      <c r="I121" s="285">
        <v>0</v>
      </c>
      <c r="J121" s="283">
        <v>0</v>
      </c>
      <c r="K121" s="283">
        <v>0</v>
      </c>
      <c r="L121" s="283">
        <v>0</v>
      </c>
      <c r="M121" s="283">
        <v>0</v>
      </c>
      <c r="N121" s="283">
        <v>0</v>
      </c>
      <c r="O121" s="284">
        <v>0</v>
      </c>
      <c r="P121" s="285">
        <v>0</v>
      </c>
    </row>
    <row r="122" spans="1:16" s="269" customFormat="1" x14ac:dyDescent="0.2">
      <c r="A122" s="118" t="s">
        <v>95</v>
      </c>
      <c r="B122" s="300">
        <v>0</v>
      </c>
      <c r="C122" s="301">
        <v>0</v>
      </c>
      <c r="D122" s="302">
        <v>0</v>
      </c>
      <c r="E122" s="285">
        <v>0</v>
      </c>
      <c r="F122" s="388">
        <v>0</v>
      </c>
      <c r="G122" s="323"/>
      <c r="H122" s="324"/>
      <c r="I122" s="285">
        <v>0</v>
      </c>
      <c r="J122" s="283">
        <v>0</v>
      </c>
      <c r="K122" s="283">
        <v>0</v>
      </c>
      <c r="L122" s="283">
        <v>0</v>
      </c>
      <c r="M122" s="283">
        <v>0</v>
      </c>
      <c r="N122" s="283">
        <v>0</v>
      </c>
      <c r="O122" s="284">
        <v>0</v>
      </c>
      <c r="P122" s="285">
        <v>0</v>
      </c>
    </row>
    <row r="123" spans="1:16" s="269" customFormat="1" x14ac:dyDescent="0.2">
      <c r="A123" s="118" t="s">
        <v>96</v>
      </c>
      <c r="B123" s="300">
        <v>0</v>
      </c>
      <c r="C123" s="301">
        <v>0</v>
      </c>
      <c r="D123" s="302">
        <v>0</v>
      </c>
      <c r="E123" s="285">
        <v>0</v>
      </c>
      <c r="F123" s="388">
        <v>0</v>
      </c>
      <c r="G123" s="323"/>
      <c r="H123" s="324"/>
      <c r="I123" s="285">
        <v>0</v>
      </c>
      <c r="J123" s="283">
        <v>0</v>
      </c>
      <c r="K123" s="283">
        <v>0</v>
      </c>
      <c r="L123" s="283">
        <v>0</v>
      </c>
      <c r="M123" s="283">
        <v>0</v>
      </c>
      <c r="N123" s="283">
        <v>0</v>
      </c>
      <c r="O123" s="284">
        <v>0</v>
      </c>
      <c r="P123" s="285">
        <v>0</v>
      </c>
    </row>
    <row r="124" spans="1:16" s="269" customFormat="1" ht="24" x14ac:dyDescent="0.2">
      <c r="A124" s="118" t="s">
        <v>97</v>
      </c>
      <c r="B124" s="300">
        <v>0</v>
      </c>
      <c r="C124" s="301">
        <v>0</v>
      </c>
      <c r="D124" s="302">
        <v>0</v>
      </c>
      <c r="E124" s="285">
        <v>0</v>
      </c>
      <c r="F124" s="388">
        <v>0</v>
      </c>
      <c r="G124" s="323"/>
      <c r="H124" s="324"/>
      <c r="I124" s="285">
        <v>0</v>
      </c>
      <c r="J124" s="283">
        <v>0</v>
      </c>
      <c r="K124" s="283">
        <v>0</v>
      </c>
      <c r="L124" s="283">
        <v>0</v>
      </c>
      <c r="M124" s="283">
        <v>0</v>
      </c>
      <c r="N124" s="283">
        <v>0</v>
      </c>
      <c r="O124" s="284">
        <v>0</v>
      </c>
      <c r="P124" s="285">
        <v>0</v>
      </c>
    </row>
    <row r="125" spans="1:16" s="269" customFormat="1" x14ac:dyDescent="0.2">
      <c r="A125" s="118" t="s">
        <v>98</v>
      </c>
      <c r="B125" s="300">
        <v>0</v>
      </c>
      <c r="C125" s="301">
        <v>0</v>
      </c>
      <c r="D125" s="302">
        <v>0</v>
      </c>
      <c r="E125" s="285">
        <v>0</v>
      </c>
      <c r="F125" s="388">
        <v>0</v>
      </c>
      <c r="G125" s="323"/>
      <c r="H125" s="324"/>
      <c r="I125" s="285">
        <v>0</v>
      </c>
      <c r="J125" s="283">
        <v>0</v>
      </c>
      <c r="K125" s="283">
        <v>0</v>
      </c>
      <c r="L125" s="283">
        <v>0</v>
      </c>
      <c r="M125" s="283">
        <v>0</v>
      </c>
      <c r="N125" s="283">
        <v>0</v>
      </c>
      <c r="O125" s="284">
        <v>0</v>
      </c>
      <c r="P125" s="285">
        <v>0</v>
      </c>
    </row>
    <row r="126" spans="1:16" s="269" customFormat="1" ht="24" x14ac:dyDescent="0.2">
      <c r="A126" s="118" t="s">
        <v>99</v>
      </c>
      <c r="B126" s="300">
        <v>0</v>
      </c>
      <c r="C126" s="301">
        <v>0</v>
      </c>
      <c r="D126" s="302">
        <v>0</v>
      </c>
      <c r="E126" s="285">
        <v>0</v>
      </c>
      <c r="F126" s="388">
        <v>0</v>
      </c>
      <c r="G126" s="323"/>
      <c r="H126" s="324"/>
      <c r="I126" s="285">
        <v>0</v>
      </c>
      <c r="J126" s="283">
        <v>0</v>
      </c>
      <c r="K126" s="283">
        <v>0</v>
      </c>
      <c r="L126" s="283">
        <v>0</v>
      </c>
      <c r="M126" s="283">
        <v>0</v>
      </c>
      <c r="N126" s="283">
        <v>0</v>
      </c>
      <c r="O126" s="284">
        <v>0</v>
      </c>
      <c r="P126" s="285">
        <v>0</v>
      </c>
    </row>
    <row r="127" spans="1:16" s="269" customFormat="1" x14ac:dyDescent="0.2">
      <c r="A127" s="118" t="s">
        <v>100</v>
      </c>
      <c r="B127" s="300">
        <v>0</v>
      </c>
      <c r="C127" s="301">
        <v>0</v>
      </c>
      <c r="D127" s="302">
        <v>0</v>
      </c>
      <c r="E127" s="285">
        <v>0</v>
      </c>
      <c r="F127" s="388">
        <v>0</v>
      </c>
      <c r="G127" s="323"/>
      <c r="H127" s="324"/>
      <c r="I127" s="285">
        <v>0</v>
      </c>
      <c r="J127" s="283">
        <v>0</v>
      </c>
      <c r="K127" s="283">
        <v>0</v>
      </c>
      <c r="L127" s="283">
        <v>0</v>
      </c>
      <c r="M127" s="283">
        <v>0</v>
      </c>
      <c r="N127" s="283">
        <v>0</v>
      </c>
      <c r="O127" s="284">
        <v>0</v>
      </c>
      <c r="P127" s="285">
        <v>0</v>
      </c>
    </row>
    <row r="128" spans="1:16" s="269" customFormat="1" ht="24" x14ac:dyDescent="0.2">
      <c r="A128" s="118" t="s">
        <v>101</v>
      </c>
      <c r="B128" s="300">
        <v>0</v>
      </c>
      <c r="C128" s="301">
        <v>0</v>
      </c>
      <c r="D128" s="302">
        <v>0</v>
      </c>
      <c r="E128" s="285">
        <v>0</v>
      </c>
      <c r="F128" s="388">
        <v>0</v>
      </c>
      <c r="G128" s="323"/>
      <c r="H128" s="324"/>
      <c r="I128" s="285">
        <v>0</v>
      </c>
      <c r="J128" s="283">
        <v>0</v>
      </c>
      <c r="K128" s="283">
        <v>0</v>
      </c>
      <c r="L128" s="283">
        <v>0</v>
      </c>
      <c r="M128" s="283">
        <v>0</v>
      </c>
      <c r="N128" s="283">
        <v>0</v>
      </c>
      <c r="O128" s="284">
        <v>0</v>
      </c>
      <c r="P128" s="285">
        <v>0</v>
      </c>
    </row>
    <row r="129" spans="1:16" s="269" customFormat="1" ht="24" x14ac:dyDescent="0.2">
      <c r="A129" s="118" t="s">
        <v>102</v>
      </c>
      <c r="B129" s="300">
        <v>0</v>
      </c>
      <c r="C129" s="301">
        <v>0</v>
      </c>
      <c r="D129" s="302">
        <v>0</v>
      </c>
      <c r="E129" s="285">
        <v>0</v>
      </c>
      <c r="F129" s="388">
        <v>0</v>
      </c>
      <c r="G129" s="323"/>
      <c r="H129" s="324"/>
      <c r="I129" s="285">
        <v>0</v>
      </c>
      <c r="J129" s="283">
        <v>0</v>
      </c>
      <c r="K129" s="283">
        <v>0</v>
      </c>
      <c r="L129" s="283">
        <v>0</v>
      </c>
      <c r="M129" s="283">
        <v>0</v>
      </c>
      <c r="N129" s="283">
        <v>0</v>
      </c>
      <c r="O129" s="284">
        <v>0</v>
      </c>
      <c r="P129" s="285">
        <v>0</v>
      </c>
    </row>
    <row r="130" spans="1:16" s="269" customFormat="1" x14ac:dyDescent="0.2">
      <c r="A130" s="118" t="s">
        <v>103</v>
      </c>
      <c r="B130" s="300">
        <v>0</v>
      </c>
      <c r="C130" s="301">
        <v>0</v>
      </c>
      <c r="D130" s="302">
        <v>0</v>
      </c>
      <c r="E130" s="285">
        <v>0</v>
      </c>
      <c r="F130" s="388">
        <v>0</v>
      </c>
      <c r="G130" s="323"/>
      <c r="H130" s="324"/>
      <c r="I130" s="285">
        <v>0</v>
      </c>
      <c r="J130" s="283">
        <v>0</v>
      </c>
      <c r="K130" s="283">
        <v>0</v>
      </c>
      <c r="L130" s="283">
        <v>0</v>
      </c>
      <c r="M130" s="283">
        <v>0</v>
      </c>
      <c r="N130" s="283">
        <v>0</v>
      </c>
      <c r="O130" s="284">
        <v>0</v>
      </c>
      <c r="P130" s="285">
        <v>0</v>
      </c>
    </row>
    <row r="131" spans="1:16" s="269" customFormat="1" ht="24" x14ac:dyDescent="0.2">
      <c r="A131" s="118" t="s">
        <v>104</v>
      </c>
      <c r="B131" s="300">
        <v>16.832999999999998</v>
      </c>
      <c r="C131" s="301">
        <v>48.5</v>
      </c>
      <c r="D131" s="384">
        <v>70.332999999999998</v>
      </c>
      <c r="E131" s="285">
        <f>(POWER(D131/B131,1/2))-1</f>
        <v>1.0440843324175284</v>
      </c>
      <c r="F131" s="388">
        <v>48.5</v>
      </c>
      <c r="G131" s="323"/>
      <c r="H131" s="324"/>
      <c r="I131" s="285">
        <v>0</v>
      </c>
      <c r="J131" s="283">
        <v>45</v>
      </c>
      <c r="K131" s="283">
        <v>51</v>
      </c>
      <c r="L131" s="283">
        <v>54</v>
      </c>
      <c r="M131" s="283">
        <v>57</v>
      </c>
      <c r="N131" s="283">
        <v>59</v>
      </c>
      <c r="O131" s="284">
        <v>63</v>
      </c>
      <c r="P131" s="285">
        <f t="shared" si="18"/>
        <v>6.9610375725068785E-2</v>
      </c>
    </row>
    <row r="132" spans="1:16" s="269" customFormat="1" ht="24" x14ac:dyDescent="0.2">
      <c r="A132" s="118" t="s">
        <v>105</v>
      </c>
      <c r="B132" s="300">
        <v>18.667000000000002</v>
      </c>
      <c r="C132" s="301">
        <v>18.167000000000002</v>
      </c>
      <c r="D132" s="384">
        <v>21.332999999999998</v>
      </c>
      <c r="E132" s="285">
        <f>(POWER(D132/B132,1/2))-1</f>
        <v>6.9027070861312323E-2</v>
      </c>
      <c r="F132" s="388">
        <v>18.167000000000002</v>
      </c>
      <c r="G132" s="323"/>
      <c r="H132" s="324"/>
      <c r="I132" s="285">
        <v>0</v>
      </c>
      <c r="J132" s="283">
        <v>24</v>
      </c>
      <c r="K132" s="283">
        <v>30</v>
      </c>
      <c r="L132" s="283">
        <v>32</v>
      </c>
      <c r="M132" s="283">
        <v>38</v>
      </c>
      <c r="N132" s="283">
        <v>40</v>
      </c>
      <c r="O132" s="284">
        <v>43</v>
      </c>
      <c r="P132" s="285">
        <f t="shared" si="18"/>
        <v>0.12370274760425981</v>
      </c>
    </row>
    <row r="133" spans="1:16" s="269" customFormat="1" ht="24" x14ac:dyDescent="0.2">
      <c r="A133" s="118" t="s">
        <v>106</v>
      </c>
      <c r="B133" s="300">
        <v>9.5839999999999996</v>
      </c>
      <c r="C133" s="301">
        <v>6.1669999999999998</v>
      </c>
      <c r="D133" s="384">
        <v>3.3330000000000002</v>
      </c>
      <c r="E133" s="285">
        <f>(POWER(D133/B133,1/2))-1</f>
        <v>-0.41028217607648276</v>
      </c>
      <c r="F133" s="388">
        <v>6.1669999999999998</v>
      </c>
      <c r="G133" s="323"/>
      <c r="H133" s="324"/>
      <c r="I133" s="285">
        <v>0</v>
      </c>
      <c r="J133" s="283">
        <v>10</v>
      </c>
      <c r="K133" s="283">
        <v>10</v>
      </c>
      <c r="L133" s="283">
        <v>12</v>
      </c>
      <c r="M133" s="283">
        <v>15</v>
      </c>
      <c r="N133" s="283">
        <v>16</v>
      </c>
      <c r="O133" s="284">
        <v>18</v>
      </c>
      <c r="P133" s="285">
        <f t="shared" si="18"/>
        <v>0.12474611314209483</v>
      </c>
    </row>
    <row r="134" spans="1:16" s="269" customFormat="1" ht="24" x14ac:dyDescent="0.2">
      <c r="A134" s="118" t="s">
        <v>107</v>
      </c>
      <c r="B134" s="300">
        <v>0</v>
      </c>
      <c r="C134" s="301">
        <v>0</v>
      </c>
      <c r="D134" s="302">
        <v>0</v>
      </c>
      <c r="E134" s="285">
        <v>0</v>
      </c>
      <c r="F134" s="388">
        <v>0</v>
      </c>
      <c r="G134" s="323"/>
      <c r="H134" s="324"/>
      <c r="I134" s="285">
        <v>0</v>
      </c>
      <c r="J134" s="283">
        <v>0</v>
      </c>
      <c r="K134" s="283">
        <v>0</v>
      </c>
      <c r="L134" s="283">
        <v>0</v>
      </c>
      <c r="M134" s="283">
        <v>0</v>
      </c>
      <c r="N134" s="283">
        <v>0</v>
      </c>
      <c r="O134" s="284">
        <v>0</v>
      </c>
      <c r="P134" s="285">
        <v>0</v>
      </c>
    </row>
    <row r="135" spans="1:16" s="269" customFormat="1" ht="36" x14ac:dyDescent="0.2">
      <c r="A135" s="118" t="s">
        <v>108</v>
      </c>
      <c r="B135" s="300">
        <v>0</v>
      </c>
      <c r="C135" s="301">
        <v>0</v>
      </c>
      <c r="D135" s="302">
        <v>0</v>
      </c>
      <c r="E135" s="285">
        <v>0</v>
      </c>
      <c r="F135" s="388">
        <v>0</v>
      </c>
      <c r="G135" s="323"/>
      <c r="H135" s="324"/>
      <c r="I135" s="285">
        <v>0</v>
      </c>
      <c r="J135" s="283">
        <v>0</v>
      </c>
      <c r="K135" s="283">
        <v>0</v>
      </c>
      <c r="L135" s="283">
        <v>0</v>
      </c>
      <c r="M135" s="283">
        <v>0</v>
      </c>
      <c r="N135" s="283">
        <v>0</v>
      </c>
      <c r="O135" s="284">
        <v>0</v>
      </c>
      <c r="P135" s="285">
        <v>0</v>
      </c>
    </row>
    <row r="136" spans="1:16" s="269" customFormat="1" ht="13.5" thickBot="1" x14ac:dyDescent="0.25">
      <c r="A136" s="119" t="s">
        <v>109</v>
      </c>
      <c r="B136" s="296">
        <v>0</v>
      </c>
      <c r="C136" s="297">
        <v>0</v>
      </c>
      <c r="D136" s="302">
        <v>0</v>
      </c>
      <c r="E136" s="280">
        <v>0</v>
      </c>
      <c r="F136" s="386">
        <v>0</v>
      </c>
      <c r="G136" s="320"/>
      <c r="H136" s="321"/>
      <c r="I136" s="389">
        <v>0</v>
      </c>
      <c r="J136" s="283">
        <v>0</v>
      </c>
      <c r="K136" s="283">
        <v>0</v>
      </c>
      <c r="L136" s="283">
        <v>0</v>
      </c>
      <c r="M136" s="283">
        <v>0</v>
      </c>
      <c r="N136" s="283">
        <v>0</v>
      </c>
      <c r="O136" s="284">
        <v>0</v>
      </c>
      <c r="P136" s="389">
        <v>0</v>
      </c>
    </row>
    <row r="137" spans="1:16" s="269" customFormat="1" ht="13.5" thickBot="1" x14ac:dyDescent="0.25">
      <c r="A137" s="120" t="s">
        <v>184</v>
      </c>
      <c r="B137" s="306">
        <f>SUM(B105:B136)</f>
        <v>301.41699999999997</v>
      </c>
      <c r="C137" s="307">
        <f t="shared" ref="C137:D137" si="19">SUM(C105:C136)</f>
        <v>334.16699999999997</v>
      </c>
      <c r="D137" s="307">
        <f t="shared" si="19"/>
        <v>421.33300000000003</v>
      </c>
      <c r="E137" s="291">
        <f>(POWER(D137/B137,1/2))-1</f>
        <v>0.18230320348930507</v>
      </c>
      <c r="F137" s="25">
        <v>380.38</v>
      </c>
      <c r="G137" s="25">
        <v>400.4</v>
      </c>
      <c r="H137" s="15">
        <v>421.52000000000004</v>
      </c>
      <c r="I137" s="390">
        <v>0</v>
      </c>
      <c r="J137" s="308">
        <f t="shared" ref="J137:O137" si="20">SUM(J105:J136)</f>
        <v>441</v>
      </c>
      <c r="K137" s="308">
        <f t="shared" si="20"/>
        <v>480</v>
      </c>
      <c r="L137" s="308">
        <f t="shared" si="20"/>
        <v>495</v>
      </c>
      <c r="M137" s="308">
        <f t="shared" si="20"/>
        <v>525</v>
      </c>
      <c r="N137" s="308">
        <f t="shared" si="20"/>
        <v>535</v>
      </c>
      <c r="O137" s="308">
        <f t="shared" si="20"/>
        <v>566</v>
      </c>
      <c r="P137" s="390">
        <f t="shared" si="18"/>
        <v>5.1176318626125372E-2</v>
      </c>
    </row>
  </sheetData>
  <mergeCells count="37">
    <mergeCell ref="B23:E23"/>
    <mergeCell ref="F23:I23"/>
    <mergeCell ref="J23:P23"/>
    <mergeCell ref="B12:F12"/>
    <mergeCell ref="B69:F69"/>
    <mergeCell ref="A67:Q67"/>
    <mergeCell ref="B62:F62"/>
    <mergeCell ref="A60:Q60"/>
    <mergeCell ref="A61:Q61"/>
    <mergeCell ref="K62:Q62"/>
    <mergeCell ref="K69:Q69"/>
    <mergeCell ref="A75:O75"/>
    <mergeCell ref="A74:O74"/>
    <mergeCell ref="J76:O76"/>
    <mergeCell ref="A68:Q68"/>
    <mergeCell ref="G76:I76"/>
    <mergeCell ref="B76:F76"/>
    <mergeCell ref="A10:Q10"/>
    <mergeCell ref="A11:Q11"/>
    <mergeCell ref="A21:Q21"/>
    <mergeCell ref="A22:Q22"/>
    <mergeCell ref="G12:J12"/>
    <mergeCell ref="K12:Q12"/>
    <mergeCell ref="A92:O92"/>
    <mergeCell ref="A91:O91"/>
    <mergeCell ref="A81:Q81"/>
    <mergeCell ref="J93:O93"/>
    <mergeCell ref="K83:Q83"/>
    <mergeCell ref="B93:F93"/>
    <mergeCell ref="B83:F83"/>
    <mergeCell ref="G93:I93"/>
    <mergeCell ref="A82:Q82"/>
    <mergeCell ref="A101:Q101"/>
    <mergeCell ref="A102:Q102"/>
    <mergeCell ref="B103:E103"/>
    <mergeCell ref="F103:I103"/>
    <mergeCell ref="J103:P103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7"/>
  <sheetViews>
    <sheetView workbookViewId="0">
      <selection activeCell="W121" sqref="W121"/>
    </sheetView>
  </sheetViews>
  <sheetFormatPr defaultRowHeight="12.75" x14ac:dyDescent="0.2"/>
  <cols>
    <col min="1" max="1" width="27.5703125" customWidth="1"/>
    <col min="6" max="6" width="10.28515625" customWidth="1"/>
    <col min="7" max="8" width="9.140625" customWidth="1"/>
    <col min="9" max="9" width="9.85546875" customWidth="1"/>
    <col min="10" max="15" width="10" customWidth="1"/>
    <col min="16" max="17" width="9.140625" customWidth="1"/>
  </cols>
  <sheetData>
    <row r="1" spans="1:17" s="68" customFormat="1" ht="23.25" x14ac:dyDescent="0.35">
      <c r="A1" s="66" t="s">
        <v>72</v>
      </c>
      <c r="B1" s="67"/>
      <c r="C1" s="67"/>
      <c r="D1" s="67"/>
      <c r="E1" s="67"/>
      <c r="F1" s="67"/>
    </row>
    <row r="2" spans="1:17" ht="13.5" customHeight="1" thickBot="1" x14ac:dyDescent="0.45">
      <c r="A2" s="2"/>
      <c r="B2" s="1"/>
      <c r="C2" s="3"/>
      <c r="D2" s="1"/>
      <c r="E2" s="1"/>
      <c r="F2" s="1"/>
    </row>
    <row r="3" spans="1:17" s="74" customFormat="1" ht="24" thickBot="1" x14ac:dyDescent="0.4">
      <c r="A3" s="45" t="s">
        <v>177</v>
      </c>
      <c r="B3" s="69"/>
      <c r="C3" s="69"/>
      <c r="D3" s="70"/>
      <c r="E3" s="71"/>
      <c r="F3" s="71"/>
      <c r="G3" s="72"/>
      <c r="H3" s="72"/>
      <c r="I3" s="72"/>
      <c r="J3" s="72"/>
      <c r="K3" s="72"/>
      <c r="L3" s="73"/>
    </row>
    <row r="6" spans="1:17" ht="18" x14ac:dyDescent="0.25">
      <c r="A6" s="6" t="s">
        <v>52</v>
      </c>
    </row>
    <row r="7" spans="1:17" x14ac:dyDescent="0.2">
      <c r="A7" t="s">
        <v>23</v>
      </c>
      <c r="K7" s="246"/>
    </row>
    <row r="8" spans="1:17" x14ac:dyDescent="0.2">
      <c r="K8" s="246"/>
    </row>
    <row r="9" spans="1:17" x14ac:dyDescent="0.2">
      <c r="K9" s="246"/>
    </row>
    <row r="10" spans="1:17" ht="15.75" x14ac:dyDescent="0.25">
      <c r="A10" s="644" t="s">
        <v>24</v>
      </c>
      <c r="B10" s="644"/>
      <c r="C10" s="644"/>
      <c r="D10" s="644"/>
      <c r="E10" s="644"/>
      <c r="F10" s="644"/>
      <c r="G10" s="644"/>
      <c r="H10" s="644"/>
      <c r="I10" s="644"/>
      <c r="J10" s="644"/>
      <c r="K10" s="644"/>
      <c r="L10" s="644"/>
      <c r="M10" s="644"/>
      <c r="N10" s="644"/>
      <c r="O10" s="644"/>
      <c r="P10" s="644"/>
    </row>
    <row r="11" spans="1:17" ht="16.5" thickBot="1" x14ac:dyDescent="0.3">
      <c r="A11" s="643" t="s">
        <v>16</v>
      </c>
      <c r="B11" s="643"/>
      <c r="C11" s="643"/>
      <c r="D11" s="643"/>
      <c r="E11" s="643"/>
      <c r="F11" s="643"/>
      <c r="G11" s="643"/>
      <c r="H11" s="643"/>
      <c r="I11" s="643"/>
      <c r="J11" s="643"/>
      <c r="K11" s="643"/>
      <c r="L11" s="643"/>
      <c r="M11" s="643"/>
      <c r="N11" s="643"/>
      <c r="O11" s="643"/>
      <c r="P11" s="643"/>
    </row>
    <row r="12" spans="1:17" ht="16.5" thickBot="1" x14ac:dyDescent="0.3">
      <c r="A12" s="52"/>
      <c r="B12" s="650" t="s">
        <v>75</v>
      </c>
      <c r="C12" s="651"/>
      <c r="D12" s="651"/>
      <c r="E12" s="651"/>
      <c r="F12" s="652"/>
      <c r="G12" s="645" t="s">
        <v>171</v>
      </c>
      <c r="H12" s="645"/>
      <c r="I12" s="645"/>
      <c r="J12" s="646"/>
      <c r="K12" s="647" t="s">
        <v>3</v>
      </c>
      <c r="L12" s="645"/>
      <c r="M12" s="645"/>
      <c r="N12" s="645"/>
      <c r="O12" s="645"/>
      <c r="P12" s="645"/>
      <c r="Q12" s="646"/>
    </row>
    <row r="13" spans="1:17" ht="48.75" customHeight="1" thickBot="1" x14ac:dyDescent="0.25">
      <c r="A13" s="38"/>
      <c r="B13" s="359">
        <v>2008</v>
      </c>
      <c r="C13" s="368">
        <v>2009</v>
      </c>
      <c r="D13" s="368">
        <v>2010</v>
      </c>
      <c r="E13" s="368">
        <v>2011</v>
      </c>
      <c r="F13" s="401">
        <v>2012</v>
      </c>
      <c r="G13" s="148" t="s">
        <v>172</v>
      </c>
      <c r="H13" s="10" t="s">
        <v>76</v>
      </c>
      <c r="I13" s="39" t="s">
        <v>77</v>
      </c>
      <c r="J13" s="9" t="s">
        <v>0</v>
      </c>
      <c r="K13" s="88" t="s">
        <v>134</v>
      </c>
      <c r="L13" s="10" t="s">
        <v>135</v>
      </c>
      <c r="M13" s="10" t="s">
        <v>136</v>
      </c>
      <c r="N13" s="10" t="s">
        <v>137</v>
      </c>
      <c r="O13" s="10" t="s">
        <v>138</v>
      </c>
      <c r="P13" s="39" t="s">
        <v>139</v>
      </c>
      <c r="Q13" s="9" t="s">
        <v>71</v>
      </c>
    </row>
    <row r="14" spans="1:17" ht="13.5" thickBot="1" x14ac:dyDescent="0.25">
      <c r="A14" s="578" t="s">
        <v>1</v>
      </c>
      <c r="B14" s="402">
        <v>70.916666666666657</v>
      </c>
      <c r="C14" s="160">
        <v>162.75</v>
      </c>
      <c r="D14" s="579">
        <v>238.749</v>
      </c>
      <c r="E14" s="231">
        <v>278.83300000000003</v>
      </c>
      <c r="F14" s="404">
        <f>14.667+2.417+30.167+110.5+42.833+74.667+4+3.25</f>
        <v>282.50099999999998</v>
      </c>
      <c r="G14" s="63">
        <v>209</v>
      </c>
      <c r="H14" s="63">
        <v>217</v>
      </c>
      <c r="I14" s="63">
        <v>225</v>
      </c>
      <c r="J14" s="253">
        <f>RATE(4,,-C14,I14)</f>
        <v>8.4339754184326043E-2</v>
      </c>
      <c r="K14" s="459">
        <v>329</v>
      </c>
      <c r="L14" s="459">
        <v>355</v>
      </c>
      <c r="M14" s="459">
        <v>383</v>
      </c>
      <c r="N14" s="459">
        <v>413</v>
      </c>
      <c r="O14" s="459">
        <v>446</v>
      </c>
      <c r="P14" s="459">
        <v>482</v>
      </c>
      <c r="Q14" s="253">
        <f>RATE(5,,-K14,P14)</f>
        <v>7.936971403369282E-2</v>
      </c>
    </row>
    <row r="15" spans="1:17" x14ac:dyDescent="0.2">
      <c r="A15" s="40" t="s">
        <v>4</v>
      </c>
      <c r="B15" s="200">
        <v>184</v>
      </c>
      <c r="C15" s="144">
        <v>237.917</v>
      </c>
      <c r="D15" s="432">
        <v>504</v>
      </c>
      <c r="E15" s="406">
        <v>534.41600000000005</v>
      </c>
      <c r="F15" s="580">
        <v>524</v>
      </c>
      <c r="G15" s="503">
        <v>516</v>
      </c>
      <c r="H15" s="346">
        <v>527</v>
      </c>
      <c r="I15" s="346">
        <v>538</v>
      </c>
      <c r="J15" s="582">
        <f>RATE(5,,-C15,I15)</f>
        <v>0.17725721328715846</v>
      </c>
      <c r="K15" s="92">
        <v>566</v>
      </c>
      <c r="L15" s="138">
        <v>600</v>
      </c>
      <c r="M15" s="138">
        <v>636</v>
      </c>
      <c r="N15" s="138">
        <v>674</v>
      </c>
      <c r="O15" s="138">
        <v>715</v>
      </c>
      <c r="P15" s="476">
        <v>758</v>
      </c>
      <c r="Q15" s="565">
        <f>RATE(5,,-K15,P15)</f>
        <v>6.0157902325443859E-2</v>
      </c>
    </row>
    <row r="16" spans="1:17" ht="14.25" x14ac:dyDescent="0.25">
      <c r="A16" s="498" t="s">
        <v>204</v>
      </c>
      <c r="B16" s="504"/>
      <c r="C16" s="501"/>
      <c r="D16" s="566"/>
      <c r="E16" s="500"/>
      <c r="F16" s="508"/>
      <c r="G16" s="581"/>
      <c r="H16" s="567"/>
      <c r="I16" s="567"/>
      <c r="J16" s="583"/>
      <c r="K16" s="461"/>
      <c r="L16" s="585">
        <v>159</v>
      </c>
      <c r="M16" s="585">
        <v>304</v>
      </c>
      <c r="N16" s="585">
        <v>317</v>
      </c>
      <c r="O16" s="585">
        <v>330</v>
      </c>
      <c r="P16" s="585">
        <v>347</v>
      </c>
      <c r="Q16" s="565"/>
    </row>
    <row r="17" spans="1:17" ht="13.5" thickBot="1" x14ac:dyDescent="0.25">
      <c r="A17" s="499" t="s">
        <v>5</v>
      </c>
      <c r="B17" s="502">
        <v>307.75</v>
      </c>
      <c r="C17" s="349">
        <v>316.00000000000068</v>
      </c>
      <c r="D17" s="522">
        <v>329.74900000000002</v>
      </c>
      <c r="E17" s="507">
        <v>399.584</v>
      </c>
      <c r="F17" s="509">
        <v>415</v>
      </c>
      <c r="G17" s="453">
        <v>353</v>
      </c>
      <c r="H17" s="454">
        <v>376</v>
      </c>
      <c r="I17" s="454">
        <v>400</v>
      </c>
      <c r="J17" s="584">
        <f>RATE(5,,-C17,I17)</f>
        <v>4.8273438749957182E-2</v>
      </c>
      <c r="K17" s="364">
        <v>428</v>
      </c>
      <c r="L17" s="343">
        <v>298</v>
      </c>
      <c r="M17" s="343">
        <v>184</v>
      </c>
      <c r="N17" s="343">
        <v>204</v>
      </c>
      <c r="O17" s="343">
        <v>226</v>
      </c>
      <c r="P17" s="477">
        <v>246</v>
      </c>
      <c r="Q17" s="565">
        <f>RATE(5,,-K17,P17)</f>
        <v>-0.10484494681478197</v>
      </c>
    </row>
    <row r="18" spans="1:17" ht="13.5" thickBot="1" x14ac:dyDescent="0.25">
      <c r="A18" s="205" t="s">
        <v>2</v>
      </c>
      <c r="B18" s="392">
        <f>SUM(B15:B17)</f>
        <v>491.75</v>
      </c>
      <c r="C18" s="392">
        <f t="shared" ref="C18:F18" si="0">SUM(C15:C17)</f>
        <v>553.91700000000071</v>
      </c>
      <c r="D18" s="392">
        <f t="shared" si="0"/>
        <v>833.74900000000002</v>
      </c>
      <c r="E18" s="392">
        <f t="shared" si="0"/>
        <v>934</v>
      </c>
      <c r="F18" s="392">
        <f t="shared" si="0"/>
        <v>939</v>
      </c>
      <c r="G18" s="338">
        <f>G15+G17</f>
        <v>869</v>
      </c>
      <c r="H18" s="338">
        <f>H15+H17</f>
        <v>903</v>
      </c>
      <c r="I18" s="339">
        <f>I15+I17</f>
        <v>938</v>
      </c>
      <c r="J18" s="208">
        <f>RATE(5,,-C18,I18)</f>
        <v>0.1110961144764411</v>
      </c>
      <c r="K18" s="392">
        <f t="shared" ref="K18" si="1">SUM(K15:K17)</f>
        <v>994</v>
      </c>
      <c r="L18" s="392">
        <f t="shared" ref="L18" si="2">SUM(L15:L17)</f>
        <v>1057</v>
      </c>
      <c r="M18" s="392">
        <f t="shared" ref="M18" si="3">SUM(M15:M17)</f>
        <v>1124</v>
      </c>
      <c r="N18" s="392">
        <f t="shared" ref="N18" si="4">SUM(N15:N17)</f>
        <v>1195</v>
      </c>
      <c r="O18" s="392">
        <f t="shared" ref="O18" si="5">SUM(O15:O17)</f>
        <v>1271</v>
      </c>
      <c r="P18" s="392">
        <f t="shared" ref="P18" si="6">SUM(P15:P17)</f>
        <v>1351</v>
      </c>
      <c r="Q18" s="208">
        <f>RATE(5,,-K18,P18)</f>
        <v>6.3295052036216742E-2</v>
      </c>
    </row>
    <row r="21" spans="1:17" ht="15.75" x14ac:dyDescent="0.25">
      <c r="A21" s="644" t="s">
        <v>25</v>
      </c>
      <c r="B21" s="644"/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</row>
    <row r="22" spans="1:17" ht="16.5" thickBot="1" x14ac:dyDescent="0.3">
      <c r="A22" s="643" t="s">
        <v>16</v>
      </c>
      <c r="B22" s="643"/>
      <c r="C22" s="643"/>
      <c r="D22" s="643"/>
      <c r="E22" s="643"/>
      <c r="F22" s="643"/>
      <c r="G22" s="643"/>
      <c r="H22" s="643"/>
      <c r="I22" s="643"/>
      <c r="J22" s="643"/>
      <c r="K22" s="643"/>
      <c r="L22" s="643"/>
      <c r="M22" s="643"/>
      <c r="N22" s="643"/>
      <c r="O22" s="637"/>
      <c r="P22" s="637"/>
    </row>
    <row r="23" spans="1:17" ht="27.75" customHeight="1" thickBot="1" x14ac:dyDescent="0.3">
      <c r="A23" s="103"/>
      <c r="B23" s="647" t="s">
        <v>178</v>
      </c>
      <c r="C23" s="645"/>
      <c r="D23" s="645"/>
      <c r="E23" s="646"/>
      <c r="F23" s="647" t="s">
        <v>171</v>
      </c>
      <c r="G23" s="645"/>
      <c r="H23" s="645"/>
      <c r="I23" s="646"/>
      <c r="J23" s="647" t="s">
        <v>3</v>
      </c>
      <c r="K23" s="648"/>
      <c r="L23" s="648"/>
      <c r="M23" s="648"/>
      <c r="N23" s="648"/>
      <c r="O23" s="648"/>
      <c r="P23" s="649"/>
    </row>
    <row r="24" spans="1:17" ht="60.75" thickBot="1" x14ac:dyDescent="0.25">
      <c r="A24" s="51"/>
      <c r="B24" s="88">
        <v>2010</v>
      </c>
      <c r="C24" s="7">
        <v>2011</v>
      </c>
      <c r="D24" s="10">
        <v>2012</v>
      </c>
      <c r="E24" s="9" t="s">
        <v>180</v>
      </c>
      <c r="F24" s="148" t="s">
        <v>172</v>
      </c>
      <c r="G24" s="10" t="s">
        <v>76</v>
      </c>
      <c r="H24" s="39" t="s">
        <v>77</v>
      </c>
      <c r="I24" s="9" t="s">
        <v>181</v>
      </c>
      <c r="J24" s="88" t="s">
        <v>65</v>
      </c>
      <c r="K24" s="10" t="s">
        <v>66</v>
      </c>
      <c r="L24" s="10" t="s">
        <v>67</v>
      </c>
      <c r="M24" s="10" t="s">
        <v>68</v>
      </c>
      <c r="N24" s="10" t="s">
        <v>69</v>
      </c>
      <c r="O24" s="39" t="s">
        <v>70</v>
      </c>
      <c r="P24" s="9" t="s">
        <v>71</v>
      </c>
    </row>
    <row r="25" spans="1:17" x14ac:dyDescent="0.2">
      <c r="A25" s="122" t="s">
        <v>111</v>
      </c>
      <c r="B25" s="179">
        <v>0</v>
      </c>
      <c r="C25" s="180">
        <v>0</v>
      </c>
      <c r="D25" s="192">
        <v>0</v>
      </c>
      <c r="E25" s="107">
        <v>0</v>
      </c>
      <c r="F25" s="478"/>
      <c r="G25" s="530"/>
      <c r="H25" s="531"/>
      <c r="I25" s="532"/>
      <c r="J25" s="179">
        <v>0</v>
      </c>
      <c r="K25" s="180">
        <v>0</v>
      </c>
      <c r="L25" s="180">
        <v>0</v>
      </c>
      <c r="M25" s="180">
        <v>0</v>
      </c>
      <c r="N25" s="180">
        <v>0</v>
      </c>
      <c r="O25" s="180">
        <v>0</v>
      </c>
      <c r="P25" s="108">
        <v>0</v>
      </c>
    </row>
    <row r="26" spans="1:17" ht="36" x14ac:dyDescent="0.2">
      <c r="A26" s="122" t="s">
        <v>112</v>
      </c>
      <c r="B26" s="181">
        <v>30.417000000000002</v>
      </c>
      <c r="C26" s="182">
        <v>31.167000000000002</v>
      </c>
      <c r="D26" s="236">
        <f>25.75+3.75</f>
        <v>29.5</v>
      </c>
      <c r="E26" s="108">
        <f t="shared" ref="E26:E47" si="7">RATE(1,,-B26,D26)</f>
        <v>-3.0147614820659547E-2</v>
      </c>
      <c r="F26" s="482"/>
      <c r="G26" s="533"/>
      <c r="H26" s="534"/>
      <c r="I26" s="485"/>
      <c r="J26" s="114">
        <v>31</v>
      </c>
      <c r="K26" s="114">
        <v>33</v>
      </c>
      <c r="L26" s="114">
        <v>35</v>
      </c>
      <c r="M26" s="114">
        <v>37</v>
      </c>
      <c r="N26" s="114">
        <v>39</v>
      </c>
      <c r="O26" s="114">
        <v>42</v>
      </c>
      <c r="P26" s="108">
        <f>RATE(5,,-J26,O26)</f>
        <v>6.2618858899870886E-2</v>
      </c>
    </row>
    <row r="27" spans="1:17" ht="24" x14ac:dyDescent="0.2">
      <c r="A27" s="122" t="s">
        <v>113</v>
      </c>
      <c r="B27" s="181">
        <v>3.0830000000000002</v>
      </c>
      <c r="C27" s="182">
        <v>2.1669999999999998</v>
      </c>
      <c r="D27" s="236">
        <v>2.0830000000000002</v>
      </c>
      <c r="E27" s="108">
        <f t="shared" si="7"/>
        <v>-0.3243593902043464</v>
      </c>
      <c r="F27" s="482"/>
      <c r="G27" s="533"/>
      <c r="H27" s="534"/>
      <c r="I27" s="485"/>
      <c r="J27" s="114">
        <v>2</v>
      </c>
      <c r="K27" s="114">
        <v>2</v>
      </c>
      <c r="L27" s="114">
        <v>2</v>
      </c>
      <c r="M27" s="114">
        <v>2</v>
      </c>
      <c r="N27" s="114">
        <v>2</v>
      </c>
      <c r="O27" s="114">
        <v>3</v>
      </c>
      <c r="P27" s="108">
        <f t="shared" ref="P27:P47" si="8">RATE(5,,-J27,O27)</f>
        <v>8.4471771197995899E-2</v>
      </c>
    </row>
    <row r="28" spans="1:17" ht="36" x14ac:dyDescent="0.2">
      <c r="A28" s="122" t="s">
        <v>114</v>
      </c>
      <c r="B28" s="181">
        <v>13.333</v>
      </c>
      <c r="C28" s="182">
        <v>20.75</v>
      </c>
      <c r="D28" s="236">
        <v>22</v>
      </c>
      <c r="E28" s="108">
        <f t="shared" si="7"/>
        <v>0.65004125103127586</v>
      </c>
      <c r="F28" s="482"/>
      <c r="G28" s="533"/>
      <c r="H28" s="534"/>
      <c r="I28" s="485"/>
      <c r="J28" s="114">
        <v>23</v>
      </c>
      <c r="K28" s="114">
        <v>25</v>
      </c>
      <c r="L28" s="114">
        <v>27</v>
      </c>
      <c r="M28" s="114">
        <v>29</v>
      </c>
      <c r="N28" s="114">
        <v>31</v>
      </c>
      <c r="O28" s="114">
        <v>32</v>
      </c>
      <c r="P28" s="108">
        <f t="shared" si="8"/>
        <v>6.8278353688438029E-2</v>
      </c>
    </row>
    <row r="29" spans="1:17" ht="24" x14ac:dyDescent="0.2">
      <c r="A29" s="122" t="s">
        <v>115</v>
      </c>
      <c r="B29" s="181">
        <v>45.082999999999998</v>
      </c>
      <c r="C29" s="182">
        <v>39.415999999999997</v>
      </c>
      <c r="D29" s="236">
        <f>16.5+28.5</f>
        <v>45</v>
      </c>
      <c r="E29" s="108">
        <f t="shared" si="7"/>
        <v>-1.8410487323380765E-3</v>
      </c>
      <c r="F29" s="482"/>
      <c r="G29" s="533"/>
      <c r="H29" s="534"/>
      <c r="I29" s="485"/>
      <c r="J29" s="114">
        <v>48</v>
      </c>
      <c r="K29" s="114">
        <v>51</v>
      </c>
      <c r="L29" s="114">
        <v>55</v>
      </c>
      <c r="M29" s="114">
        <v>59</v>
      </c>
      <c r="N29" s="114">
        <v>63</v>
      </c>
      <c r="O29" s="114">
        <v>66</v>
      </c>
      <c r="P29" s="108">
        <f t="shared" si="8"/>
        <v>6.5762756635474498E-2</v>
      </c>
    </row>
    <row r="30" spans="1:17" ht="24" x14ac:dyDescent="0.2">
      <c r="A30" s="122" t="s">
        <v>116</v>
      </c>
      <c r="B30" s="181">
        <v>10.917</v>
      </c>
      <c r="C30" s="182">
        <v>12.667</v>
      </c>
      <c r="D30" s="236">
        <v>13.083</v>
      </c>
      <c r="E30" s="108">
        <f t="shared" si="7"/>
        <v>0.19840615553723556</v>
      </c>
      <c r="F30" s="482"/>
      <c r="G30" s="533"/>
      <c r="H30" s="534"/>
      <c r="I30" s="485"/>
      <c r="J30" s="114">
        <v>14</v>
      </c>
      <c r="K30" s="114">
        <v>15</v>
      </c>
      <c r="L30" s="114">
        <v>16</v>
      </c>
      <c r="M30" s="114">
        <v>17</v>
      </c>
      <c r="N30" s="114">
        <v>18</v>
      </c>
      <c r="O30" s="114">
        <v>19</v>
      </c>
      <c r="P30" s="108">
        <f t="shared" si="8"/>
        <v>6.2980048262344782E-2</v>
      </c>
    </row>
    <row r="31" spans="1:17" x14ac:dyDescent="0.2">
      <c r="A31" s="122" t="s">
        <v>117</v>
      </c>
      <c r="B31" s="181">
        <v>0</v>
      </c>
      <c r="C31" s="182">
        <v>0</v>
      </c>
      <c r="D31" s="236">
        <v>0</v>
      </c>
      <c r="E31" s="108">
        <v>0</v>
      </c>
      <c r="F31" s="482"/>
      <c r="G31" s="533"/>
      <c r="H31" s="534"/>
      <c r="I31" s="485"/>
      <c r="J31" s="181">
        <v>0</v>
      </c>
      <c r="K31" s="182">
        <v>0</v>
      </c>
      <c r="L31" s="182">
        <v>0</v>
      </c>
      <c r="M31" s="182">
        <v>0</v>
      </c>
      <c r="N31" s="182">
        <v>0</v>
      </c>
      <c r="O31" s="182">
        <v>0</v>
      </c>
      <c r="P31" s="121">
        <v>0</v>
      </c>
    </row>
    <row r="32" spans="1:17" ht="36" x14ac:dyDescent="0.2">
      <c r="A32" s="122" t="s">
        <v>118</v>
      </c>
      <c r="B32" s="181">
        <v>93.917000000000002</v>
      </c>
      <c r="C32" s="182">
        <v>94.667000000000002</v>
      </c>
      <c r="D32" s="236">
        <v>89.25</v>
      </c>
      <c r="E32" s="108">
        <f t="shared" si="7"/>
        <v>-4.969281386756394E-2</v>
      </c>
      <c r="F32" s="482"/>
      <c r="G32" s="533"/>
      <c r="H32" s="534"/>
      <c r="I32" s="485"/>
      <c r="J32" s="114">
        <v>95</v>
      </c>
      <c r="K32" s="114">
        <v>101</v>
      </c>
      <c r="L32" s="114">
        <v>108</v>
      </c>
      <c r="M32" s="114">
        <v>115</v>
      </c>
      <c r="N32" s="114">
        <v>122</v>
      </c>
      <c r="O32" s="114">
        <v>129</v>
      </c>
      <c r="P32" s="108">
        <f t="shared" si="8"/>
        <v>6.3097803892604123E-2</v>
      </c>
    </row>
    <row r="33" spans="1:16" ht="24" x14ac:dyDescent="0.2">
      <c r="A33" s="122" t="s">
        <v>119</v>
      </c>
      <c r="B33" s="181">
        <v>0</v>
      </c>
      <c r="C33" s="182">
        <v>0</v>
      </c>
      <c r="D33" s="236">
        <v>0</v>
      </c>
      <c r="E33" s="108">
        <v>0</v>
      </c>
      <c r="F33" s="482"/>
      <c r="G33" s="533"/>
      <c r="H33" s="534"/>
      <c r="I33" s="485"/>
      <c r="J33" s="181">
        <v>0</v>
      </c>
      <c r="K33" s="182">
        <v>0</v>
      </c>
      <c r="L33" s="182">
        <v>0</v>
      </c>
      <c r="M33" s="182">
        <v>0</v>
      </c>
      <c r="N33" s="182">
        <v>0</v>
      </c>
      <c r="O33" s="182">
        <v>0</v>
      </c>
      <c r="P33" s="121">
        <v>0</v>
      </c>
    </row>
    <row r="34" spans="1:16" ht="24" x14ac:dyDescent="0.2">
      <c r="A34" s="122" t="s">
        <v>120</v>
      </c>
      <c r="B34" s="181">
        <v>0</v>
      </c>
      <c r="C34" s="182">
        <v>0</v>
      </c>
      <c r="D34" s="236">
        <v>0</v>
      </c>
      <c r="E34" s="108">
        <v>0</v>
      </c>
      <c r="F34" s="482"/>
      <c r="G34" s="533"/>
      <c r="H34" s="534"/>
      <c r="I34" s="485"/>
      <c r="J34" s="181">
        <v>0</v>
      </c>
      <c r="K34" s="182">
        <v>0</v>
      </c>
      <c r="L34" s="182">
        <v>0</v>
      </c>
      <c r="M34" s="182">
        <v>0</v>
      </c>
      <c r="N34" s="182">
        <v>0</v>
      </c>
      <c r="O34" s="182">
        <v>0</v>
      </c>
      <c r="P34" s="121">
        <v>0</v>
      </c>
    </row>
    <row r="35" spans="1:16" x14ac:dyDescent="0.2">
      <c r="A35" s="122" t="s">
        <v>121</v>
      </c>
      <c r="B35" s="181">
        <v>0</v>
      </c>
      <c r="C35" s="182">
        <v>0</v>
      </c>
      <c r="D35" s="236">
        <v>0</v>
      </c>
      <c r="E35" s="108">
        <v>0</v>
      </c>
      <c r="F35" s="482"/>
      <c r="G35" s="533"/>
      <c r="H35" s="534"/>
      <c r="I35" s="485"/>
      <c r="J35" s="181">
        <v>0</v>
      </c>
      <c r="K35" s="182">
        <v>0</v>
      </c>
      <c r="L35" s="182">
        <v>0</v>
      </c>
      <c r="M35" s="182">
        <v>0</v>
      </c>
      <c r="N35" s="182">
        <v>0</v>
      </c>
      <c r="O35" s="182">
        <v>0</v>
      </c>
      <c r="P35" s="121">
        <v>0</v>
      </c>
    </row>
    <row r="36" spans="1:16" ht="36" x14ac:dyDescent="0.2">
      <c r="A36" s="122" t="s">
        <v>122</v>
      </c>
      <c r="B36" s="181">
        <v>29.582999999999998</v>
      </c>
      <c r="C36" s="182">
        <v>52.5</v>
      </c>
      <c r="D36" s="236">
        <v>51.667000000000002</v>
      </c>
      <c r="E36" s="108">
        <f t="shared" si="7"/>
        <v>0.74650981982895614</v>
      </c>
      <c r="F36" s="482"/>
      <c r="G36" s="533"/>
      <c r="H36" s="534"/>
      <c r="I36" s="485"/>
      <c r="J36" s="114">
        <v>55</v>
      </c>
      <c r="K36" s="114">
        <v>59</v>
      </c>
      <c r="L36" s="114">
        <v>63</v>
      </c>
      <c r="M36" s="114">
        <v>67</v>
      </c>
      <c r="N36" s="114">
        <v>71</v>
      </c>
      <c r="O36" s="114">
        <v>76</v>
      </c>
      <c r="P36" s="108">
        <f t="shared" si="8"/>
        <v>6.6817621211941639E-2</v>
      </c>
    </row>
    <row r="37" spans="1:16" ht="24.75" thickBot="1" x14ac:dyDescent="0.25">
      <c r="A37" s="125" t="s">
        <v>123</v>
      </c>
      <c r="B37" s="183">
        <v>0</v>
      </c>
      <c r="C37" s="184">
        <v>6.6669999999999998</v>
      </c>
      <c r="D37" s="237">
        <v>7.4169999999999998</v>
      </c>
      <c r="E37" s="126">
        <v>0</v>
      </c>
      <c r="F37" s="535"/>
      <c r="G37" s="536"/>
      <c r="H37" s="537"/>
      <c r="I37" s="538"/>
      <c r="J37" s="175">
        <v>7</v>
      </c>
      <c r="K37" s="175">
        <v>7</v>
      </c>
      <c r="L37" s="175">
        <v>7</v>
      </c>
      <c r="M37" s="175">
        <v>8</v>
      </c>
      <c r="N37" s="175">
        <v>9</v>
      </c>
      <c r="O37" s="176">
        <v>10</v>
      </c>
      <c r="P37" s="126">
        <f t="shared" si="8"/>
        <v>7.3940923785779419E-2</v>
      </c>
    </row>
    <row r="38" spans="1:16" ht="24.75" thickBot="1" x14ac:dyDescent="0.25">
      <c r="A38" s="123" t="s">
        <v>124</v>
      </c>
      <c r="B38" s="185">
        <f>SUM(B25:B37)</f>
        <v>226.333</v>
      </c>
      <c r="C38" s="185">
        <f t="shared" ref="C38:D38" si="9">SUM(C25:C37)</f>
        <v>260.00099999999998</v>
      </c>
      <c r="D38" s="185">
        <f t="shared" si="9"/>
        <v>260</v>
      </c>
      <c r="E38" s="167">
        <f t="shared" si="7"/>
        <v>0.1487498508834329</v>
      </c>
      <c r="F38" s="539"/>
      <c r="G38" s="540"/>
      <c r="H38" s="541"/>
      <c r="I38" s="542"/>
      <c r="J38" s="177">
        <f t="shared" ref="J38:O38" si="10">SUM(J25:J37)</f>
        <v>275</v>
      </c>
      <c r="K38" s="178">
        <f t="shared" si="10"/>
        <v>293</v>
      </c>
      <c r="L38" s="178">
        <f t="shared" si="10"/>
        <v>313</v>
      </c>
      <c r="M38" s="178">
        <f t="shared" si="10"/>
        <v>334</v>
      </c>
      <c r="N38" s="178">
        <f t="shared" si="10"/>
        <v>355</v>
      </c>
      <c r="O38" s="178">
        <f t="shared" si="10"/>
        <v>377</v>
      </c>
      <c r="P38" s="253">
        <f t="shared" si="8"/>
        <v>6.5127827687277179E-2</v>
      </c>
    </row>
    <row r="39" spans="1:16" ht="25.5" customHeight="1" x14ac:dyDescent="0.2">
      <c r="A39" s="127" t="s">
        <v>125</v>
      </c>
      <c r="B39" s="187">
        <v>0</v>
      </c>
      <c r="C39" s="188">
        <v>0</v>
      </c>
      <c r="D39" s="238">
        <v>0</v>
      </c>
      <c r="E39" s="37">
        <v>0</v>
      </c>
      <c r="F39" s="543"/>
      <c r="G39" s="544"/>
      <c r="H39" s="545"/>
      <c r="I39" s="546"/>
      <c r="J39" s="187">
        <v>0</v>
      </c>
      <c r="K39" s="188">
        <v>0</v>
      </c>
      <c r="L39" s="188">
        <v>0</v>
      </c>
      <c r="M39" s="188">
        <v>0</v>
      </c>
      <c r="N39" s="188">
        <v>0</v>
      </c>
      <c r="O39" s="559">
        <v>0</v>
      </c>
      <c r="P39" s="12">
        <v>0</v>
      </c>
    </row>
    <row r="40" spans="1:16" ht="24" x14ac:dyDescent="0.2">
      <c r="A40" s="122" t="s">
        <v>126</v>
      </c>
      <c r="B40" s="181">
        <v>0</v>
      </c>
      <c r="C40" s="182">
        <v>0</v>
      </c>
      <c r="D40" s="236">
        <v>0</v>
      </c>
      <c r="E40" s="108">
        <v>0</v>
      </c>
      <c r="F40" s="482"/>
      <c r="G40" s="533"/>
      <c r="H40" s="534"/>
      <c r="I40" s="485"/>
      <c r="J40" s="181">
        <v>0</v>
      </c>
      <c r="K40" s="182">
        <v>0</v>
      </c>
      <c r="L40" s="182">
        <v>0</v>
      </c>
      <c r="M40" s="182">
        <v>0</v>
      </c>
      <c r="N40" s="182">
        <v>0</v>
      </c>
      <c r="O40" s="560">
        <v>0</v>
      </c>
      <c r="P40" s="108">
        <v>0</v>
      </c>
    </row>
    <row r="41" spans="1:16" ht="36" x14ac:dyDescent="0.2">
      <c r="A41" s="122" t="s">
        <v>127</v>
      </c>
      <c r="B41" s="181">
        <v>0</v>
      </c>
      <c r="C41" s="182">
        <v>0</v>
      </c>
      <c r="D41" s="236">
        <v>1</v>
      </c>
      <c r="E41" s="108">
        <v>0</v>
      </c>
      <c r="F41" s="482"/>
      <c r="G41" s="533"/>
      <c r="H41" s="534"/>
      <c r="I41" s="485"/>
      <c r="J41" s="181">
        <v>0</v>
      </c>
      <c r="K41" s="182">
        <v>0</v>
      </c>
      <c r="L41" s="182">
        <v>0</v>
      </c>
      <c r="M41" s="182">
        <v>0</v>
      </c>
      <c r="N41" s="182">
        <v>0</v>
      </c>
      <c r="O41" s="560">
        <v>0</v>
      </c>
      <c r="P41" s="108">
        <v>0</v>
      </c>
    </row>
    <row r="42" spans="1:16" x14ac:dyDescent="0.2">
      <c r="A42" s="122" t="s">
        <v>128</v>
      </c>
      <c r="B42" s="181">
        <v>336.91700000000003</v>
      </c>
      <c r="C42" s="182">
        <v>378.66700000000003</v>
      </c>
      <c r="D42" s="236">
        <v>367.25</v>
      </c>
      <c r="E42" s="108">
        <f t="shared" si="7"/>
        <v>9.0031075902967189E-2</v>
      </c>
      <c r="F42" s="482"/>
      <c r="G42" s="533"/>
      <c r="H42" s="534"/>
      <c r="I42" s="485"/>
      <c r="J42" s="114">
        <v>388</v>
      </c>
      <c r="K42" s="114">
        <v>415</v>
      </c>
      <c r="L42" s="114">
        <v>443</v>
      </c>
      <c r="M42" s="114">
        <v>471</v>
      </c>
      <c r="N42" s="114">
        <v>497</v>
      </c>
      <c r="O42" s="114">
        <v>527</v>
      </c>
      <c r="P42" s="108">
        <f t="shared" si="8"/>
        <v>6.3153021809408003E-2</v>
      </c>
    </row>
    <row r="43" spans="1:16" ht="24" x14ac:dyDescent="0.2">
      <c r="A43" s="122" t="s">
        <v>129</v>
      </c>
      <c r="B43" s="181">
        <v>158</v>
      </c>
      <c r="C43" s="182">
        <v>179.667</v>
      </c>
      <c r="D43" s="236">
        <v>195.833</v>
      </c>
      <c r="E43" s="108">
        <f t="shared" si="7"/>
        <v>0.23944936708860767</v>
      </c>
      <c r="F43" s="482"/>
      <c r="G43" s="533"/>
      <c r="H43" s="534"/>
      <c r="I43" s="485"/>
      <c r="J43" s="114">
        <v>208</v>
      </c>
      <c r="K43" s="114">
        <v>220</v>
      </c>
      <c r="L43" s="114">
        <v>233</v>
      </c>
      <c r="M43" s="114">
        <v>247</v>
      </c>
      <c r="N43" s="114">
        <v>262</v>
      </c>
      <c r="O43" s="114">
        <v>278</v>
      </c>
      <c r="P43" s="108">
        <f t="shared" si="8"/>
        <v>5.9732594329143698E-2</v>
      </c>
    </row>
    <row r="44" spans="1:16" ht="24" x14ac:dyDescent="0.2">
      <c r="A44" s="122" t="s">
        <v>130</v>
      </c>
      <c r="B44" s="181">
        <v>73.082999999999998</v>
      </c>
      <c r="C44" s="182">
        <v>77.917000000000002</v>
      </c>
      <c r="D44" s="236">
        <v>87.667000000000002</v>
      </c>
      <c r="E44" s="108">
        <f t="shared" si="7"/>
        <v>0.19955393183093187</v>
      </c>
      <c r="F44" s="482"/>
      <c r="G44" s="533"/>
      <c r="H44" s="534"/>
      <c r="I44" s="485"/>
      <c r="J44" s="114">
        <v>92</v>
      </c>
      <c r="K44" s="114">
        <v>97</v>
      </c>
      <c r="L44" s="114">
        <v>101</v>
      </c>
      <c r="M44" s="114">
        <v>107</v>
      </c>
      <c r="N44" s="114">
        <v>112</v>
      </c>
      <c r="O44" s="114">
        <v>117</v>
      </c>
      <c r="P44" s="108">
        <f t="shared" si="8"/>
        <v>4.9251519648971676E-2</v>
      </c>
    </row>
    <row r="45" spans="1:16" x14ac:dyDescent="0.2">
      <c r="A45" s="122" t="s">
        <v>131</v>
      </c>
      <c r="B45" s="181">
        <v>39.415999999999997</v>
      </c>
      <c r="C45" s="182">
        <v>37.75</v>
      </c>
      <c r="D45" s="236">
        <v>27.748999999999999</v>
      </c>
      <c r="E45" s="108">
        <f t="shared" si="7"/>
        <v>-0.29599654962451799</v>
      </c>
      <c r="F45" s="482"/>
      <c r="G45" s="533"/>
      <c r="H45" s="534"/>
      <c r="I45" s="485"/>
      <c r="J45" s="114">
        <v>31</v>
      </c>
      <c r="K45" s="114">
        <v>32</v>
      </c>
      <c r="L45" s="114">
        <v>34</v>
      </c>
      <c r="M45" s="114">
        <v>36</v>
      </c>
      <c r="N45" s="114">
        <v>45</v>
      </c>
      <c r="O45" s="114">
        <v>52</v>
      </c>
      <c r="P45" s="108">
        <f t="shared" si="8"/>
        <v>0.10899178727660287</v>
      </c>
    </row>
    <row r="46" spans="1:16" ht="24.75" thickBot="1" x14ac:dyDescent="0.25">
      <c r="A46" s="125" t="s">
        <v>132</v>
      </c>
      <c r="B46" s="183">
        <v>0</v>
      </c>
      <c r="C46" s="184">
        <v>0</v>
      </c>
      <c r="D46" s="237">
        <v>0</v>
      </c>
      <c r="E46" s="121">
        <v>0</v>
      </c>
      <c r="F46" s="535"/>
      <c r="G46" s="530"/>
      <c r="H46" s="531"/>
      <c r="I46" s="481"/>
      <c r="J46" s="183">
        <v>0</v>
      </c>
      <c r="K46" s="184">
        <v>0</v>
      </c>
      <c r="L46" s="184">
        <v>0</v>
      </c>
      <c r="M46" s="184">
        <v>0</v>
      </c>
      <c r="N46" s="184">
        <v>0</v>
      </c>
      <c r="O46" s="561">
        <v>0</v>
      </c>
      <c r="P46" s="13">
        <v>0</v>
      </c>
    </row>
    <row r="47" spans="1:16" ht="24.75" thickBot="1" x14ac:dyDescent="0.25">
      <c r="A47" s="123" t="s">
        <v>133</v>
      </c>
      <c r="B47" s="185">
        <f>SUM(B39:B46)</f>
        <v>607.41599999999994</v>
      </c>
      <c r="C47" s="186">
        <f t="shared" ref="C47:D47" si="11">SUM(C39:C46)</f>
        <v>674.00100000000009</v>
      </c>
      <c r="D47" s="193">
        <f t="shared" si="11"/>
        <v>679.49900000000002</v>
      </c>
      <c r="E47" s="11">
        <f t="shared" si="7"/>
        <v>0.11867155293900737</v>
      </c>
      <c r="F47" s="25">
        <v>869</v>
      </c>
      <c r="G47" s="25">
        <v>903</v>
      </c>
      <c r="H47" s="15">
        <v>938</v>
      </c>
      <c r="I47" s="11">
        <v>0.1110961144764411</v>
      </c>
      <c r="J47" s="177">
        <f t="shared" ref="J47:O47" si="12">SUM(J39:J46)</f>
        <v>719</v>
      </c>
      <c r="K47" s="178">
        <f t="shared" si="12"/>
        <v>764</v>
      </c>
      <c r="L47" s="178">
        <f t="shared" si="12"/>
        <v>811</v>
      </c>
      <c r="M47" s="178">
        <f t="shared" si="12"/>
        <v>861</v>
      </c>
      <c r="N47" s="178">
        <f t="shared" si="12"/>
        <v>916</v>
      </c>
      <c r="O47" s="178">
        <f t="shared" si="12"/>
        <v>974</v>
      </c>
      <c r="P47" s="11">
        <f t="shared" si="8"/>
        <v>6.2590706699995877E-2</v>
      </c>
    </row>
    <row r="48" spans="1:16" x14ac:dyDescent="0.2">
      <c r="B48" s="1"/>
      <c r="C48" s="1"/>
      <c r="D48" s="1"/>
    </row>
    <row r="49" spans="1:19" x14ac:dyDescent="0.2">
      <c r="B49" s="1"/>
      <c r="C49" s="1"/>
      <c r="D49" s="1"/>
    </row>
    <row r="50" spans="1:19" ht="15.75" x14ac:dyDescent="0.25">
      <c r="A50" s="644" t="s">
        <v>26</v>
      </c>
      <c r="B50" s="644"/>
      <c r="C50" s="644"/>
      <c r="D50" s="644"/>
      <c r="E50" s="644"/>
      <c r="F50" s="644"/>
      <c r="G50" s="644"/>
      <c r="H50" s="644"/>
      <c r="I50" s="644"/>
      <c r="J50" s="644"/>
      <c r="K50" s="644"/>
      <c r="L50" s="644"/>
      <c r="M50" s="644"/>
      <c r="N50" s="644"/>
      <c r="O50" s="644"/>
      <c r="P50" s="644"/>
      <c r="Q50" s="36"/>
    </row>
    <row r="51" spans="1:19" ht="16.5" thickBot="1" x14ac:dyDescent="0.3">
      <c r="A51" s="643" t="s">
        <v>11</v>
      </c>
      <c r="B51" s="643"/>
      <c r="C51" s="643"/>
      <c r="D51" s="643"/>
      <c r="E51" s="643"/>
      <c r="F51" s="643"/>
      <c r="G51" s="643"/>
      <c r="H51" s="643"/>
      <c r="I51" s="643"/>
      <c r="J51" s="643"/>
      <c r="K51" s="643"/>
      <c r="L51" s="643"/>
      <c r="M51" s="643"/>
      <c r="N51" s="643"/>
      <c r="O51" s="643"/>
      <c r="P51" s="643"/>
      <c r="Q51" s="43"/>
      <c r="R51" s="17"/>
      <c r="S51" s="17"/>
    </row>
    <row r="52" spans="1:19" ht="16.5" thickBot="1" x14ac:dyDescent="0.3">
      <c r="A52" s="52"/>
      <c r="B52" s="647" t="s">
        <v>75</v>
      </c>
      <c r="C52" s="645"/>
      <c r="D52" s="645"/>
      <c r="E52" s="645"/>
      <c r="F52" s="646"/>
      <c r="G52" s="647" t="s">
        <v>171</v>
      </c>
      <c r="H52" s="645"/>
      <c r="I52" s="645"/>
      <c r="J52" s="646"/>
      <c r="K52" s="647" t="s">
        <v>6</v>
      </c>
      <c r="L52" s="648"/>
      <c r="M52" s="648"/>
      <c r="N52" s="648"/>
      <c r="O52" s="648"/>
      <c r="P52" s="648"/>
      <c r="Q52" s="649"/>
    </row>
    <row r="53" spans="1:19" ht="50.25" customHeight="1" thickBot="1" x14ac:dyDescent="0.25">
      <c r="A53" s="38"/>
      <c r="B53" s="359">
        <v>2008</v>
      </c>
      <c r="C53" s="368">
        <v>2009</v>
      </c>
      <c r="D53" s="368">
        <v>2010</v>
      </c>
      <c r="E53" s="368">
        <v>2011</v>
      </c>
      <c r="F53" s="395">
        <v>2012</v>
      </c>
      <c r="G53" s="148" t="s">
        <v>172</v>
      </c>
      <c r="H53" s="10" t="s">
        <v>76</v>
      </c>
      <c r="I53" s="39" t="s">
        <v>77</v>
      </c>
      <c r="J53" s="9" t="s">
        <v>0</v>
      </c>
      <c r="K53" s="88" t="s">
        <v>65</v>
      </c>
      <c r="L53" s="10" t="s">
        <v>66</v>
      </c>
      <c r="M53" s="10" t="s">
        <v>67</v>
      </c>
      <c r="N53" s="10" t="s">
        <v>68</v>
      </c>
      <c r="O53" s="10" t="s">
        <v>69</v>
      </c>
      <c r="P53" s="39" t="s">
        <v>70</v>
      </c>
      <c r="Q53" s="9" t="s">
        <v>71</v>
      </c>
    </row>
    <row r="54" spans="1:19" ht="13.5" thickBot="1" x14ac:dyDescent="0.25">
      <c r="A54" s="23" t="s">
        <v>2</v>
      </c>
      <c r="B54" s="26">
        <v>528.09899999999982</v>
      </c>
      <c r="C54" s="14">
        <v>564.27399999999966</v>
      </c>
      <c r="D54" s="434">
        <v>891.47500000000002</v>
      </c>
      <c r="E54" s="14">
        <v>988.13699999999994</v>
      </c>
      <c r="F54" s="563">
        <v>1048</v>
      </c>
      <c r="G54" s="25">
        <v>885</v>
      </c>
      <c r="H54" s="25">
        <v>920</v>
      </c>
      <c r="I54" s="25">
        <v>956</v>
      </c>
      <c r="J54" s="11">
        <f>RATE(4,,-C54,I54)</f>
        <v>0.14088524410553455</v>
      </c>
      <c r="K54" s="93">
        <v>1074</v>
      </c>
      <c r="L54" s="93">
        <v>1142</v>
      </c>
      <c r="M54" s="93">
        <v>1214</v>
      </c>
      <c r="N54" s="93">
        <v>1291</v>
      </c>
      <c r="O54" s="93">
        <v>1373</v>
      </c>
      <c r="P54" s="93">
        <v>1460</v>
      </c>
      <c r="Q54" s="11">
        <f>RATE(5,,-K54,P54)</f>
        <v>6.3334034918847301E-2</v>
      </c>
    </row>
    <row r="56" spans="1:19" x14ac:dyDescent="0.2">
      <c r="E56">
        <f t="shared" ref="E56:F56" si="13">E54/(C38+C47)</f>
        <v>1.0579602613270633</v>
      </c>
      <c r="F56">
        <f t="shared" si="13"/>
        <v>1.1154881484706209</v>
      </c>
    </row>
    <row r="57" spans="1:19" ht="15.75" x14ac:dyDescent="0.25">
      <c r="A57" s="644" t="s">
        <v>27</v>
      </c>
      <c r="B57" s="644"/>
      <c r="C57" s="644"/>
      <c r="D57" s="644"/>
      <c r="E57" s="644"/>
      <c r="F57" s="644"/>
      <c r="G57" s="644"/>
      <c r="H57" s="644"/>
      <c r="I57" s="644"/>
      <c r="J57" s="644"/>
      <c r="K57" s="644"/>
      <c r="L57" s="644"/>
      <c r="M57" s="644"/>
      <c r="N57" s="644"/>
      <c r="O57" s="644"/>
      <c r="P57" s="644"/>
    </row>
    <row r="58" spans="1:19" ht="16.5" thickBot="1" x14ac:dyDescent="0.3">
      <c r="A58" s="643" t="s">
        <v>12</v>
      </c>
      <c r="B58" s="643"/>
      <c r="C58" s="643"/>
      <c r="D58" s="643"/>
      <c r="E58" s="643"/>
      <c r="F58" s="643"/>
      <c r="G58" s="643"/>
      <c r="H58" s="643"/>
      <c r="I58" s="643"/>
      <c r="J58" s="643"/>
      <c r="K58" s="643"/>
      <c r="L58" s="643"/>
      <c r="M58" s="643"/>
      <c r="N58" s="643"/>
      <c r="O58" s="643"/>
      <c r="P58" s="643"/>
    </row>
    <row r="59" spans="1:19" ht="16.5" thickBot="1" x14ac:dyDescent="0.3">
      <c r="A59" s="52"/>
      <c r="B59" s="647" t="s">
        <v>75</v>
      </c>
      <c r="C59" s="645"/>
      <c r="D59" s="645"/>
      <c r="E59" s="645"/>
      <c r="F59" s="646"/>
      <c r="G59" s="311" t="s">
        <v>171</v>
      </c>
      <c r="H59" s="140"/>
      <c r="I59" s="140"/>
      <c r="J59" s="141"/>
      <c r="K59" s="647" t="s">
        <v>8</v>
      </c>
      <c r="L59" s="648"/>
      <c r="M59" s="648"/>
      <c r="N59" s="648"/>
      <c r="O59" s="648"/>
      <c r="P59" s="648"/>
      <c r="Q59" s="649"/>
    </row>
    <row r="60" spans="1:19" ht="61.5" customHeight="1" thickBot="1" x14ac:dyDescent="0.25">
      <c r="A60" s="38"/>
      <c r="B60" s="88">
        <v>2008</v>
      </c>
      <c r="C60" s="7">
        <v>2009</v>
      </c>
      <c r="D60" s="7">
        <v>2010</v>
      </c>
      <c r="E60" s="7">
        <v>2011</v>
      </c>
      <c r="F60" s="391">
        <v>2012</v>
      </c>
      <c r="G60" s="148" t="s">
        <v>172</v>
      </c>
      <c r="H60" s="10" t="s">
        <v>76</v>
      </c>
      <c r="I60" s="39" t="s">
        <v>77</v>
      </c>
      <c r="J60" s="9" t="s">
        <v>0</v>
      </c>
      <c r="K60" s="88" t="s">
        <v>65</v>
      </c>
      <c r="L60" s="10" t="s">
        <v>66</v>
      </c>
      <c r="M60" s="10" t="s">
        <v>67</v>
      </c>
      <c r="N60" s="10" t="s">
        <v>68</v>
      </c>
      <c r="O60" s="10" t="s">
        <v>69</v>
      </c>
      <c r="P60" s="39" t="s">
        <v>70</v>
      </c>
      <c r="Q60" s="9" t="s">
        <v>71</v>
      </c>
    </row>
    <row r="61" spans="1:19" ht="13.5" thickBot="1" x14ac:dyDescent="0.25">
      <c r="A61" s="23" t="s">
        <v>2</v>
      </c>
      <c r="B61" s="392">
        <v>399.48699999999991</v>
      </c>
      <c r="C61" s="393">
        <v>419.73999999999984</v>
      </c>
      <c r="D61" s="431">
        <v>720.65</v>
      </c>
      <c r="E61" s="394">
        <v>779.73599999999999</v>
      </c>
      <c r="F61" s="339">
        <v>828.41599999999994</v>
      </c>
      <c r="G61" s="26">
        <v>668</v>
      </c>
      <c r="H61" s="14">
        <v>700</v>
      </c>
      <c r="I61" s="25">
        <v>728</v>
      </c>
      <c r="J61" s="11">
        <f>RATE(4,,-C61,I61)</f>
        <v>0.14759264268169478</v>
      </c>
      <c r="K61" s="93">
        <v>848</v>
      </c>
      <c r="L61" s="93">
        <v>907</v>
      </c>
      <c r="M61" s="93">
        <v>969</v>
      </c>
      <c r="N61" s="93">
        <v>1035</v>
      </c>
      <c r="O61" s="93">
        <v>1107</v>
      </c>
      <c r="P61" s="93">
        <v>1183</v>
      </c>
      <c r="Q61" s="11">
        <f>RATE(5,,-K61,P61)</f>
        <v>6.8852502708945898E-2</v>
      </c>
    </row>
    <row r="64" spans="1:19" ht="15.75" x14ac:dyDescent="0.25">
      <c r="A64" s="644" t="s">
        <v>28</v>
      </c>
      <c r="B64" s="644"/>
      <c r="C64" s="644"/>
      <c r="D64" s="644"/>
      <c r="E64" s="644"/>
      <c r="F64" s="644"/>
      <c r="G64" s="644"/>
      <c r="H64" s="644"/>
      <c r="I64" s="644"/>
      <c r="J64" s="644"/>
      <c r="K64" s="644"/>
      <c r="L64" s="644"/>
      <c r="M64" s="644"/>
      <c r="N64" s="644"/>
    </row>
    <row r="65" spans="1:17" ht="16.5" thickBot="1" x14ac:dyDescent="0.3">
      <c r="A65" s="310" t="s">
        <v>13</v>
      </c>
      <c r="B65" s="310"/>
      <c r="C65" s="310"/>
      <c r="D65" s="310"/>
      <c r="E65" s="310"/>
      <c r="F65" s="310"/>
      <c r="G65" s="310"/>
      <c r="H65" s="310"/>
      <c r="I65" s="310"/>
      <c r="J65" s="310"/>
      <c r="K65" s="310"/>
      <c r="L65" s="310"/>
      <c r="M65" s="310"/>
      <c r="N65" s="310"/>
    </row>
    <row r="66" spans="1:17" ht="16.5" thickBot="1" x14ac:dyDescent="0.3">
      <c r="A66" s="52"/>
      <c r="B66" s="650" t="s">
        <v>75</v>
      </c>
      <c r="C66" s="651"/>
      <c r="D66" s="651"/>
      <c r="E66" s="651"/>
      <c r="F66" s="651"/>
      <c r="G66" s="140" t="s">
        <v>73</v>
      </c>
      <c r="H66" s="140"/>
      <c r="I66" s="141"/>
      <c r="J66" s="647" t="s">
        <v>8</v>
      </c>
      <c r="K66" s="645"/>
      <c r="L66" s="645"/>
      <c r="M66" s="645"/>
      <c r="N66" s="645"/>
      <c r="O66" s="646"/>
    </row>
    <row r="67" spans="1:17" ht="36.75" thickBot="1" x14ac:dyDescent="0.25">
      <c r="A67" s="38"/>
      <c r="B67" s="88">
        <v>2008</v>
      </c>
      <c r="C67" s="7">
        <v>2009</v>
      </c>
      <c r="D67" s="7">
        <v>2010</v>
      </c>
      <c r="E67" s="7">
        <v>2011</v>
      </c>
      <c r="F67" s="391">
        <v>2012</v>
      </c>
      <c r="G67" s="148" t="s">
        <v>172</v>
      </c>
      <c r="H67" s="10" t="s">
        <v>76</v>
      </c>
      <c r="I67" s="39" t="s">
        <v>77</v>
      </c>
      <c r="J67" s="88" t="s">
        <v>65</v>
      </c>
      <c r="K67" s="10" t="s">
        <v>66</v>
      </c>
      <c r="L67" s="10" t="s">
        <v>67</v>
      </c>
      <c r="M67" s="10" t="s">
        <v>68</v>
      </c>
      <c r="N67" s="10" t="s">
        <v>69</v>
      </c>
      <c r="O67" s="18" t="s">
        <v>70</v>
      </c>
    </row>
    <row r="68" spans="1:17" ht="13.5" thickBot="1" x14ac:dyDescent="0.25">
      <c r="A68" s="23" t="s">
        <v>2</v>
      </c>
      <c r="B68" s="217">
        <f>B61/B54</f>
        <v>0.75646232997979557</v>
      </c>
      <c r="C68" s="218">
        <f t="shared" ref="C68:E68" si="14">C61/C54</f>
        <v>0.74385848010009337</v>
      </c>
      <c r="D68" s="370">
        <f t="shared" si="14"/>
        <v>0.80837937126672088</v>
      </c>
      <c r="E68" s="220">
        <f t="shared" si="14"/>
        <v>0.78909705840384481</v>
      </c>
      <c r="F68" s="430">
        <f>F61/F54</f>
        <v>0.79047328244274806</v>
      </c>
      <c r="G68" s="30">
        <f>G61/G54</f>
        <v>0.75480225988700567</v>
      </c>
      <c r="H68" s="31">
        <f>H61/H54</f>
        <v>0.76086956521739135</v>
      </c>
      <c r="I68" s="32">
        <f>I61/I54</f>
        <v>0.7615062761506276</v>
      </c>
      <c r="J68" s="33">
        <v>0.79</v>
      </c>
      <c r="K68" s="34">
        <v>0.79396009825872815</v>
      </c>
      <c r="L68" s="34">
        <v>0.79794004762912563</v>
      </c>
      <c r="M68" s="34">
        <v>0.80193994762049969</v>
      </c>
      <c r="N68" s="34">
        <v>0.80595989824097625</v>
      </c>
      <c r="O68" s="35">
        <v>0.81</v>
      </c>
    </row>
    <row r="71" spans="1:17" ht="15.75" x14ac:dyDescent="0.25">
      <c r="A71" s="644" t="s">
        <v>29</v>
      </c>
      <c r="B71" s="644"/>
      <c r="C71" s="644"/>
      <c r="D71" s="644"/>
      <c r="E71" s="644"/>
      <c r="F71" s="644"/>
      <c r="G71" s="644"/>
      <c r="H71" s="644"/>
      <c r="I71" s="644"/>
      <c r="J71" s="644"/>
      <c r="K71" s="644"/>
      <c r="L71" s="644"/>
      <c r="M71" s="644"/>
      <c r="N71" s="644"/>
      <c r="O71" s="644"/>
      <c r="P71" s="644"/>
    </row>
    <row r="72" spans="1:17" ht="16.5" thickBot="1" x14ac:dyDescent="0.3">
      <c r="A72" s="643" t="s">
        <v>14</v>
      </c>
      <c r="B72" s="643"/>
      <c r="C72" s="643"/>
      <c r="D72" s="643"/>
      <c r="E72" s="643"/>
      <c r="F72" s="643"/>
      <c r="G72" s="643"/>
      <c r="H72" s="643"/>
      <c r="I72" s="643"/>
      <c r="J72" s="643"/>
      <c r="K72" s="643"/>
      <c r="L72" s="643"/>
      <c r="M72" s="643"/>
      <c r="N72" s="643"/>
      <c r="O72" s="643"/>
      <c r="P72" s="643"/>
    </row>
    <row r="73" spans="1:17" ht="16.5" thickBot="1" x14ac:dyDescent="0.3">
      <c r="A73" s="52"/>
      <c r="B73" s="650" t="s">
        <v>75</v>
      </c>
      <c r="C73" s="651"/>
      <c r="D73" s="651"/>
      <c r="E73" s="651"/>
      <c r="F73" s="652"/>
      <c r="G73" s="647" t="s">
        <v>74</v>
      </c>
      <c r="H73" s="645"/>
      <c r="I73" s="645"/>
      <c r="J73" s="646"/>
      <c r="K73" s="645" t="s">
        <v>15</v>
      </c>
      <c r="L73" s="648"/>
      <c r="M73" s="648"/>
      <c r="N73" s="648"/>
      <c r="O73" s="648"/>
      <c r="P73" s="648"/>
      <c r="Q73" s="649"/>
    </row>
    <row r="74" spans="1:17" ht="60.75" thickBot="1" x14ac:dyDescent="0.25">
      <c r="A74" s="441"/>
      <c r="B74" s="359">
        <v>2008</v>
      </c>
      <c r="C74" s="368">
        <v>2009</v>
      </c>
      <c r="D74" s="368">
        <v>2010</v>
      </c>
      <c r="E74" s="368">
        <v>2011</v>
      </c>
      <c r="F74" s="395">
        <v>2012</v>
      </c>
      <c r="G74" s="397" t="s">
        <v>172</v>
      </c>
      <c r="H74" s="360" t="s">
        <v>76</v>
      </c>
      <c r="I74" s="361" t="s">
        <v>77</v>
      </c>
      <c r="J74" s="256" t="s">
        <v>0</v>
      </c>
      <c r="K74" s="359" t="s">
        <v>65</v>
      </c>
      <c r="L74" s="360" t="s">
        <v>66</v>
      </c>
      <c r="M74" s="360" t="s">
        <v>67</v>
      </c>
      <c r="N74" s="360" t="s">
        <v>68</v>
      </c>
      <c r="O74" s="360" t="s">
        <v>69</v>
      </c>
      <c r="P74" s="369" t="s">
        <v>70</v>
      </c>
      <c r="Q74" s="569" t="s">
        <v>71</v>
      </c>
    </row>
    <row r="75" spans="1:17" x14ac:dyDescent="0.2">
      <c r="A75" s="40" t="s">
        <v>4</v>
      </c>
      <c r="B75" s="200">
        <v>17</v>
      </c>
      <c r="C75" s="144">
        <v>11.5</v>
      </c>
      <c r="D75" s="432">
        <v>80.167000000000002</v>
      </c>
      <c r="E75" s="346">
        <v>81.832999999999998</v>
      </c>
      <c r="F75" s="347">
        <v>80</v>
      </c>
      <c r="G75" s="503">
        <v>83</v>
      </c>
      <c r="H75" s="346">
        <v>95</v>
      </c>
      <c r="I75" s="346">
        <v>102</v>
      </c>
      <c r="J75" s="523">
        <f>RATE(4,,-C75,I75)</f>
        <v>0.72574086369193436</v>
      </c>
      <c r="K75" s="92">
        <v>91</v>
      </c>
      <c r="L75" s="138">
        <v>98</v>
      </c>
      <c r="M75" s="138">
        <v>106</v>
      </c>
      <c r="N75" s="138">
        <v>115</v>
      </c>
      <c r="O75" s="138">
        <v>126</v>
      </c>
      <c r="P75" s="342">
        <v>136</v>
      </c>
      <c r="Q75" s="447">
        <f t="shared" ref="Q75:Q78" si="15">RATE(5,,-K75,P75)</f>
        <v>8.367611973876074E-2</v>
      </c>
    </row>
    <row r="76" spans="1:17" x14ac:dyDescent="0.2">
      <c r="A76" s="498" t="s">
        <v>204</v>
      </c>
      <c r="B76" s="451"/>
      <c r="C76" s="450"/>
      <c r="D76" s="521"/>
      <c r="E76" s="501"/>
      <c r="F76" s="505"/>
      <c r="G76" s="504"/>
      <c r="H76" s="501"/>
      <c r="I76" s="501"/>
      <c r="J76" s="524"/>
      <c r="K76" s="461"/>
      <c r="L76" s="460">
        <v>53</v>
      </c>
      <c r="M76" s="460">
        <v>100</v>
      </c>
      <c r="N76" s="460">
        <v>105</v>
      </c>
      <c r="O76" s="460">
        <v>109</v>
      </c>
      <c r="P76" s="460">
        <v>115</v>
      </c>
      <c r="Q76" s="564"/>
    </row>
    <row r="77" spans="1:17" ht="13.5" thickBot="1" x14ac:dyDescent="0.25">
      <c r="A77" s="499" t="s">
        <v>5</v>
      </c>
      <c r="B77" s="502">
        <v>73.416666666666671</v>
      </c>
      <c r="C77" s="349">
        <v>62.666666666666671</v>
      </c>
      <c r="D77" s="522">
        <v>96</v>
      </c>
      <c r="E77" s="454">
        <v>98.584000000000003</v>
      </c>
      <c r="F77" s="455">
        <v>87</v>
      </c>
      <c r="G77" s="502">
        <v>83</v>
      </c>
      <c r="H77" s="349">
        <v>95</v>
      </c>
      <c r="I77" s="349">
        <v>102</v>
      </c>
      <c r="J77" s="525">
        <f>RATE(4,,-C77,I77)</f>
        <v>0.12951211718277877</v>
      </c>
      <c r="K77" s="571">
        <v>98</v>
      </c>
      <c r="L77" s="568">
        <v>54</v>
      </c>
      <c r="M77" s="568">
        <v>16</v>
      </c>
      <c r="N77" s="568">
        <v>21</v>
      </c>
      <c r="O77" s="568">
        <v>27</v>
      </c>
      <c r="P77" s="572">
        <v>32</v>
      </c>
      <c r="Q77" s="449">
        <f t="shared" si="15"/>
        <v>-0.20056201358341927</v>
      </c>
    </row>
    <row r="78" spans="1:17" ht="13.5" thickBot="1" x14ac:dyDescent="0.25">
      <c r="A78" s="205" t="s">
        <v>2</v>
      </c>
      <c r="B78" s="475">
        <f>SUM(B75:B77)</f>
        <v>90.416666666666671</v>
      </c>
      <c r="C78" s="475">
        <f t="shared" ref="C78:F78" si="16">SUM(C75:C77)</f>
        <v>74.166666666666671</v>
      </c>
      <c r="D78" s="475">
        <f t="shared" si="16"/>
        <v>176.167</v>
      </c>
      <c r="E78" s="475">
        <f t="shared" si="16"/>
        <v>180.417</v>
      </c>
      <c r="F78" s="475">
        <f t="shared" si="16"/>
        <v>167</v>
      </c>
      <c r="G78" s="475">
        <f t="shared" ref="G78:I78" si="17">G75+G77</f>
        <v>166</v>
      </c>
      <c r="H78" s="338">
        <f t="shared" si="17"/>
        <v>190</v>
      </c>
      <c r="I78" s="339">
        <f t="shared" si="17"/>
        <v>204</v>
      </c>
      <c r="J78" s="208">
        <f>RATE(4,,-C78,I78)</f>
        <v>0.28782055229869569</v>
      </c>
      <c r="K78" s="475">
        <f t="shared" ref="K78" si="18">SUM(K75:K77)</f>
        <v>189</v>
      </c>
      <c r="L78" s="475">
        <f t="shared" ref="L78" si="19">SUM(L75:L77)</f>
        <v>205</v>
      </c>
      <c r="M78" s="475">
        <f t="shared" ref="M78" si="20">SUM(M75:M77)</f>
        <v>222</v>
      </c>
      <c r="N78" s="475">
        <f t="shared" ref="N78" si="21">SUM(N75:N77)</f>
        <v>241</v>
      </c>
      <c r="O78" s="475">
        <f t="shared" ref="O78" si="22">SUM(O75:O77)</f>
        <v>262</v>
      </c>
      <c r="P78" s="475">
        <f t="shared" ref="P78" si="23">SUM(P75:P77)</f>
        <v>283</v>
      </c>
      <c r="Q78" s="570">
        <f t="shared" si="15"/>
        <v>8.4088971324605299E-2</v>
      </c>
    </row>
    <row r="80" spans="1:17" x14ac:dyDescent="0.2">
      <c r="L80" s="1"/>
      <c r="M80" s="1"/>
      <c r="N80" s="1"/>
      <c r="O80" s="1"/>
      <c r="P80" s="1"/>
    </row>
    <row r="81" spans="1:16" ht="15.75" x14ac:dyDescent="0.25">
      <c r="A81" s="644" t="s">
        <v>140</v>
      </c>
      <c r="B81" s="644"/>
      <c r="C81" s="644"/>
      <c r="D81" s="644"/>
      <c r="E81" s="644"/>
      <c r="F81" s="644"/>
      <c r="G81" s="644"/>
      <c r="H81" s="644"/>
      <c r="I81" s="644"/>
      <c r="J81" s="644"/>
      <c r="K81" s="644"/>
      <c r="L81" s="644"/>
      <c r="M81" s="644"/>
      <c r="N81" s="644"/>
    </row>
    <row r="82" spans="1:16" ht="16.5" thickBot="1" x14ac:dyDescent="0.3">
      <c r="A82" s="643" t="s">
        <v>7</v>
      </c>
      <c r="B82" s="643"/>
      <c r="C82" s="643"/>
      <c r="D82" s="643"/>
      <c r="E82" s="643"/>
      <c r="F82" s="643"/>
      <c r="G82" s="643"/>
      <c r="H82" s="643"/>
      <c r="I82" s="643"/>
      <c r="J82" s="643"/>
      <c r="K82" s="643"/>
      <c r="L82" s="643"/>
      <c r="M82" s="643"/>
      <c r="N82" s="643"/>
      <c r="O82" s="43"/>
      <c r="P82" s="43"/>
    </row>
    <row r="83" spans="1:16" ht="16.5" thickBot="1" x14ac:dyDescent="0.3">
      <c r="A83" s="52"/>
      <c r="B83" s="647" t="s">
        <v>75</v>
      </c>
      <c r="C83" s="645"/>
      <c r="D83" s="645"/>
      <c r="E83" s="645"/>
      <c r="F83" s="646"/>
      <c r="G83" s="140" t="s">
        <v>73</v>
      </c>
      <c r="H83" s="140"/>
      <c r="I83" s="141"/>
      <c r="J83" s="647" t="s">
        <v>8</v>
      </c>
      <c r="K83" s="645"/>
      <c r="L83" s="645"/>
      <c r="M83" s="645"/>
      <c r="N83" s="645"/>
      <c r="O83" s="646"/>
    </row>
    <row r="84" spans="1:16" ht="36.75" thickBot="1" x14ac:dyDescent="0.25">
      <c r="A84" s="519"/>
      <c r="B84" s="367">
        <v>2008</v>
      </c>
      <c r="C84" s="368">
        <v>2009</v>
      </c>
      <c r="D84" s="360">
        <v>2010</v>
      </c>
      <c r="E84" s="369">
        <v>2011</v>
      </c>
      <c r="F84" s="573">
        <v>2012</v>
      </c>
      <c r="G84" s="473" t="s">
        <v>172</v>
      </c>
      <c r="H84" s="360" t="s">
        <v>76</v>
      </c>
      <c r="I84" s="361" t="s">
        <v>77</v>
      </c>
      <c r="J84" s="359" t="s">
        <v>65</v>
      </c>
      <c r="K84" s="360" t="s">
        <v>66</v>
      </c>
      <c r="L84" s="360" t="s">
        <v>67</v>
      </c>
      <c r="M84" s="360" t="s">
        <v>68</v>
      </c>
      <c r="N84" s="360" t="s">
        <v>69</v>
      </c>
      <c r="O84" s="369" t="s">
        <v>70</v>
      </c>
    </row>
    <row r="85" spans="1:16" x14ac:dyDescent="0.2">
      <c r="A85" s="40" t="s">
        <v>4</v>
      </c>
      <c r="B85" s="97">
        <f t="shared" ref="B85:I85" si="24">B75/B15</f>
        <v>9.2391304347826081E-2</v>
      </c>
      <c r="C85" s="149">
        <f t="shared" si="24"/>
        <v>4.8336184467692514E-2</v>
      </c>
      <c r="D85" s="373">
        <f t="shared" si="24"/>
        <v>0.15906150793650795</v>
      </c>
      <c r="E85" s="149">
        <f t="shared" si="24"/>
        <v>0.15312602916080356</v>
      </c>
      <c r="F85" s="58">
        <f t="shared" si="24"/>
        <v>0.15267175572519084</v>
      </c>
      <c r="G85" s="97">
        <f t="shared" si="24"/>
        <v>0.16085271317829458</v>
      </c>
      <c r="H85" s="149">
        <f t="shared" si="24"/>
        <v>0.18026565464895636</v>
      </c>
      <c r="I85" s="58">
        <f t="shared" si="24"/>
        <v>0.1895910780669145</v>
      </c>
      <c r="J85" s="97">
        <f t="shared" ref="J85:O85" si="25">K75/K15</f>
        <v>0.16077738515901061</v>
      </c>
      <c r="K85" s="149">
        <f t="shared" si="25"/>
        <v>0.16333333333333333</v>
      </c>
      <c r="L85" s="149">
        <f t="shared" si="25"/>
        <v>0.16666666666666666</v>
      </c>
      <c r="M85" s="149">
        <f t="shared" si="25"/>
        <v>0.17062314540059348</v>
      </c>
      <c r="N85" s="149">
        <f t="shared" si="25"/>
        <v>0.17622377622377622</v>
      </c>
      <c r="O85" s="57">
        <f t="shared" si="25"/>
        <v>0.17941952506596306</v>
      </c>
    </row>
    <row r="86" spans="1:16" x14ac:dyDescent="0.2">
      <c r="A86" s="498" t="s">
        <v>204</v>
      </c>
      <c r="B86" s="374"/>
      <c r="C86" s="371"/>
      <c r="D86" s="372"/>
      <c r="E86" s="371"/>
      <c r="F86" s="380"/>
      <c r="G86" s="374"/>
      <c r="H86" s="371"/>
      <c r="I86" s="380"/>
      <c r="J86" s="374"/>
      <c r="K86" s="371">
        <f>L76/L16</f>
        <v>0.33333333333333331</v>
      </c>
      <c r="L86" s="371">
        <f t="shared" ref="L86:O86" si="26">M76/M16</f>
        <v>0.32894736842105265</v>
      </c>
      <c r="M86" s="371">
        <f t="shared" si="26"/>
        <v>0.33123028391167192</v>
      </c>
      <c r="N86" s="371">
        <f t="shared" si="26"/>
        <v>0.33030303030303032</v>
      </c>
      <c r="O86" s="371">
        <f t="shared" si="26"/>
        <v>0.33141210374639768</v>
      </c>
    </row>
    <row r="87" spans="1:16" ht="13.5" thickBot="1" x14ac:dyDescent="0.25">
      <c r="A87" s="499" t="s">
        <v>5</v>
      </c>
      <c r="B87" s="376">
        <f t="shared" ref="B87:I88" si="27">B77/B17</f>
        <v>0.23855943677227187</v>
      </c>
      <c r="C87" s="377">
        <f t="shared" si="27"/>
        <v>0.19831223628691941</v>
      </c>
      <c r="D87" s="378">
        <f t="shared" si="27"/>
        <v>0.29113052655201377</v>
      </c>
      <c r="E87" s="377">
        <f t="shared" si="27"/>
        <v>0.24671658524865861</v>
      </c>
      <c r="F87" s="381">
        <f t="shared" si="27"/>
        <v>0.20963855421686747</v>
      </c>
      <c r="G87" s="376">
        <f t="shared" si="27"/>
        <v>0.23512747875354106</v>
      </c>
      <c r="H87" s="377">
        <f t="shared" si="27"/>
        <v>0.25265957446808512</v>
      </c>
      <c r="I87" s="381">
        <f t="shared" si="27"/>
        <v>0.255</v>
      </c>
      <c r="J87" s="376">
        <f>K77/K17</f>
        <v>0.22897196261682243</v>
      </c>
      <c r="K87" s="377">
        <f>L77/L17</f>
        <v>0.18120805369127516</v>
      </c>
      <c r="L87" s="377">
        <f t="shared" ref="L87:O88" si="28">M77/M17</f>
        <v>8.6956521739130432E-2</v>
      </c>
      <c r="M87" s="377">
        <f t="shared" si="28"/>
        <v>0.10294117647058823</v>
      </c>
      <c r="N87" s="377">
        <f t="shared" si="28"/>
        <v>0.11946902654867257</v>
      </c>
      <c r="O87" s="379">
        <f t="shared" si="28"/>
        <v>0.13008130081300814</v>
      </c>
    </row>
    <row r="88" spans="1:16" ht="13.5" thickBot="1" x14ac:dyDescent="0.25">
      <c r="A88" s="205" t="s">
        <v>2</v>
      </c>
      <c r="B88" s="217">
        <f t="shared" si="27"/>
        <v>0.18386714116251485</v>
      </c>
      <c r="C88" s="218">
        <f t="shared" si="27"/>
        <v>0.13389490964651127</v>
      </c>
      <c r="D88" s="370">
        <f t="shared" si="27"/>
        <v>0.21129500605098175</v>
      </c>
      <c r="E88" s="574">
        <f t="shared" si="27"/>
        <v>0.1931659528907923</v>
      </c>
      <c r="F88" s="575">
        <f t="shared" si="27"/>
        <v>0.17784877529286475</v>
      </c>
      <c r="G88" s="526">
        <f t="shared" si="27"/>
        <v>0.19102416570771003</v>
      </c>
      <c r="H88" s="576">
        <f t="shared" si="27"/>
        <v>0.21040974529346623</v>
      </c>
      <c r="I88" s="574">
        <f t="shared" si="27"/>
        <v>0.21748400852878466</v>
      </c>
      <c r="J88" s="577">
        <f>K78/K18</f>
        <v>0.19014084507042253</v>
      </c>
      <c r="K88" s="577">
        <f>L78/L18</f>
        <v>0.19394512771996217</v>
      </c>
      <c r="L88" s="577">
        <f t="shared" si="28"/>
        <v>0.19750889679715303</v>
      </c>
      <c r="M88" s="577">
        <f t="shared" si="28"/>
        <v>0.20167364016736403</v>
      </c>
      <c r="N88" s="577">
        <f t="shared" si="28"/>
        <v>0.20613690007867821</v>
      </c>
      <c r="O88" s="577">
        <f t="shared" si="28"/>
        <v>0.20947446336047373</v>
      </c>
    </row>
    <row r="89" spans="1:16" x14ac:dyDescent="0.2">
      <c r="I89" s="53"/>
    </row>
    <row r="90" spans="1:16" x14ac:dyDescent="0.2">
      <c r="K90" s="421"/>
      <c r="L90" s="421"/>
      <c r="M90" s="421"/>
      <c r="N90" s="421"/>
    </row>
    <row r="91" spans="1:16" ht="15.75" x14ac:dyDescent="0.25">
      <c r="A91" s="644" t="s">
        <v>185</v>
      </c>
      <c r="B91" s="644"/>
      <c r="C91" s="644"/>
      <c r="D91" s="644"/>
      <c r="E91" s="644"/>
      <c r="F91" s="644"/>
      <c r="G91" s="644"/>
      <c r="H91" s="644"/>
      <c r="I91" s="644"/>
      <c r="J91" s="644"/>
      <c r="K91" s="644"/>
      <c r="L91" s="644"/>
      <c r="M91" s="644"/>
      <c r="N91" s="644"/>
      <c r="O91" s="644"/>
      <c r="P91" s="644"/>
    </row>
    <row r="92" spans="1:16" ht="16.5" thickBot="1" x14ac:dyDescent="0.3">
      <c r="A92" s="643" t="s">
        <v>184</v>
      </c>
      <c r="B92" s="643"/>
      <c r="C92" s="643"/>
      <c r="D92" s="643"/>
      <c r="E92" s="643"/>
      <c r="F92" s="643"/>
      <c r="G92" s="643"/>
      <c r="H92" s="643"/>
      <c r="I92" s="643"/>
      <c r="J92" s="643"/>
      <c r="K92" s="643"/>
      <c r="L92" s="643"/>
      <c r="M92" s="643"/>
      <c r="N92" s="643"/>
      <c r="O92" s="637"/>
      <c r="P92" s="637"/>
    </row>
    <row r="93" spans="1:16" ht="16.5" thickBot="1" x14ac:dyDescent="0.3">
      <c r="A93" s="103"/>
      <c r="B93" s="647" t="s">
        <v>178</v>
      </c>
      <c r="C93" s="645"/>
      <c r="D93" s="645"/>
      <c r="E93" s="646"/>
      <c r="F93" s="647" t="s">
        <v>183</v>
      </c>
      <c r="G93" s="645"/>
      <c r="H93" s="645"/>
      <c r="I93" s="646"/>
      <c r="J93" s="647" t="s">
        <v>3</v>
      </c>
      <c r="K93" s="648"/>
      <c r="L93" s="648"/>
      <c r="M93" s="648"/>
      <c r="N93" s="648"/>
      <c r="O93" s="648"/>
      <c r="P93" s="649"/>
    </row>
    <row r="94" spans="1:16" ht="60.75" thickBot="1" x14ac:dyDescent="0.25">
      <c r="A94" s="51"/>
      <c r="B94" s="88">
        <v>2010</v>
      </c>
      <c r="C94" s="7">
        <v>2011</v>
      </c>
      <c r="D94" s="10">
        <v>2012</v>
      </c>
      <c r="E94" s="9" t="s">
        <v>180</v>
      </c>
      <c r="F94" s="148" t="s">
        <v>172</v>
      </c>
      <c r="G94" s="10" t="s">
        <v>76</v>
      </c>
      <c r="H94" s="39" t="s">
        <v>77</v>
      </c>
      <c r="I94" s="9" t="s">
        <v>181</v>
      </c>
      <c r="J94" s="88" t="s">
        <v>65</v>
      </c>
      <c r="K94" s="10" t="s">
        <v>66</v>
      </c>
      <c r="L94" s="10" t="s">
        <v>67</v>
      </c>
      <c r="M94" s="10" t="s">
        <v>68</v>
      </c>
      <c r="N94" s="10" t="s">
        <v>69</v>
      </c>
      <c r="O94" s="39" t="s">
        <v>70</v>
      </c>
      <c r="P94" s="256" t="s">
        <v>71</v>
      </c>
    </row>
    <row r="95" spans="1:16" x14ac:dyDescent="0.2">
      <c r="A95" s="122" t="s">
        <v>111</v>
      </c>
      <c r="B95" s="179">
        <v>0</v>
      </c>
      <c r="C95" s="180">
        <v>0</v>
      </c>
      <c r="D95" s="109">
        <v>0</v>
      </c>
      <c r="E95" s="107">
        <v>0</v>
      </c>
      <c r="F95" s="478"/>
      <c r="G95" s="530"/>
      <c r="H95" s="531"/>
      <c r="I95" s="532"/>
      <c r="J95" s="179">
        <v>0</v>
      </c>
      <c r="K95" s="180">
        <v>0</v>
      </c>
      <c r="L95" s="109">
        <v>0</v>
      </c>
      <c r="M95" s="179">
        <v>0</v>
      </c>
      <c r="N95" s="180">
        <v>0</v>
      </c>
      <c r="O95" s="110">
        <v>0</v>
      </c>
      <c r="P95" s="12">
        <v>0</v>
      </c>
    </row>
    <row r="96" spans="1:16" ht="36" x14ac:dyDescent="0.2">
      <c r="A96" s="122" t="s">
        <v>112</v>
      </c>
      <c r="B96" s="181">
        <v>20.75</v>
      </c>
      <c r="C96" s="182">
        <v>15.75</v>
      </c>
      <c r="D96" s="113">
        <v>12</v>
      </c>
      <c r="E96" s="108">
        <f>(POWER(D96/B96,1/2))-1</f>
        <v>-0.23953089937062655</v>
      </c>
      <c r="F96" s="482"/>
      <c r="G96" s="533"/>
      <c r="H96" s="534"/>
      <c r="I96" s="485"/>
      <c r="J96" s="114">
        <v>14</v>
      </c>
      <c r="K96" s="114">
        <v>15</v>
      </c>
      <c r="L96" s="114">
        <v>16</v>
      </c>
      <c r="M96" s="114">
        <v>17</v>
      </c>
      <c r="N96" s="114">
        <v>18</v>
      </c>
      <c r="O96" s="114">
        <v>20</v>
      </c>
      <c r="P96" s="108">
        <f t="shared" ref="P96:P117" si="29">RATE(5,,-J96,O96)</f>
        <v>7.3940923785779419E-2</v>
      </c>
    </row>
    <row r="97" spans="1:16" ht="24" x14ac:dyDescent="0.2">
      <c r="A97" s="122" t="s">
        <v>113</v>
      </c>
      <c r="B97" s="181">
        <v>1</v>
      </c>
      <c r="C97" s="182">
        <v>1.333</v>
      </c>
      <c r="D97" s="113">
        <v>1</v>
      </c>
      <c r="E97" s="108">
        <f t="shared" ref="E97:E117" si="30">(POWER(D97/B97,1/2))-1</f>
        <v>0</v>
      </c>
      <c r="F97" s="482"/>
      <c r="G97" s="533"/>
      <c r="H97" s="534"/>
      <c r="I97" s="485"/>
      <c r="J97" s="114">
        <v>1</v>
      </c>
      <c r="K97" s="114">
        <v>1</v>
      </c>
      <c r="L97" s="114">
        <v>1</v>
      </c>
      <c r="M97" s="114">
        <v>1</v>
      </c>
      <c r="N97" s="114">
        <v>1</v>
      </c>
      <c r="O97" s="114">
        <v>1</v>
      </c>
      <c r="P97" s="108">
        <f t="shared" si="29"/>
        <v>8.8113899357329076E-17</v>
      </c>
    </row>
    <row r="98" spans="1:16" ht="36" x14ac:dyDescent="0.2">
      <c r="A98" s="122" t="s">
        <v>114</v>
      </c>
      <c r="B98" s="181">
        <v>0</v>
      </c>
      <c r="C98" s="182">
        <v>0</v>
      </c>
      <c r="D98" s="113">
        <v>0</v>
      </c>
      <c r="E98" s="108">
        <v>0</v>
      </c>
      <c r="F98" s="482"/>
      <c r="G98" s="533"/>
      <c r="H98" s="534"/>
      <c r="I98" s="485"/>
      <c r="J98" s="181">
        <v>0</v>
      </c>
      <c r="K98" s="182">
        <v>0</v>
      </c>
      <c r="L98" s="113">
        <v>0</v>
      </c>
      <c r="M98" s="113">
        <v>0</v>
      </c>
      <c r="N98" s="113">
        <v>0</v>
      </c>
      <c r="O98" s="562">
        <v>0</v>
      </c>
      <c r="P98" s="108">
        <v>0</v>
      </c>
    </row>
    <row r="99" spans="1:16" ht="24" x14ac:dyDescent="0.2">
      <c r="A99" s="122" t="s">
        <v>115</v>
      </c>
      <c r="B99" s="181">
        <v>17.25</v>
      </c>
      <c r="C99" s="182">
        <v>15.5</v>
      </c>
      <c r="D99" s="113">
        <v>15</v>
      </c>
      <c r="E99" s="108">
        <f t="shared" si="30"/>
        <v>-6.7495191759686213E-2</v>
      </c>
      <c r="F99" s="482"/>
      <c r="G99" s="533"/>
      <c r="H99" s="534"/>
      <c r="I99" s="485"/>
      <c r="J99" s="114">
        <v>16</v>
      </c>
      <c r="K99" s="114">
        <v>17</v>
      </c>
      <c r="L99" s="114">
        <v>18</v>
      </c>
      <c r="M99" s="114">
        <v>19</v>
      </c>
      <c r="N99" s="114">
        <v>21</v>
      </c>
      <c r="O99" s="114">
        <v>23</v>
      </c>
      <c r="P99" s="108">
        <f t="shared" si="29"/>
        <v>7.5280006405569685E-2</v>
      </c>
    </row>
    <row r="100" spans="1:16" ht="24" x14ac:dyDescent="0.2">
      <c r="A100" s="122" t="s">
        <v>116</v>
      </c>
      <c r="B100" s="181">
        <v>3.25</v>
      </c>
      <c r="C100" s="182">
        <v>0</v>
      </c>
      <c r="D100" s="113">
        <v>0</v>
      </c>
      <c r="E100" s="108">
        <f t="shared" si="30"/>
        <v>-1</v>
      </c>
      <c r="F100" s="482"/>
      <c r="G100" s="533"/>
      <c r="H100" s="534"/>
      <c r="I100" s="485"/>
      <c r="J100" s="114">
        <f t="shared" ref="J100" si="31">D100*1.084</f>
        <v>0</v>
      </c>
      <c r="K100" s="114">
        <v>0</v>
      </c>
      <c r="L100" s="114">
        <f t="shared" ref="L100" si="32">F100*1.084</f>
        <v>0</v>
      </c>
      <c r="M100" s="114">
        <f t="shared" ref="M100" si="33">G100*1.084</f>
        <v>0</v>
      </c>
      <c r="N100" s="114">
        <f t="shared" ref="N100" si="34">H100*1.084</f>
        <v>0</v>
      </c>
      <c r="O100" s="114">
        <f t="shared" ref="O100" si="35">I100*1.084</f>
        <v>0</v>
      </c>
      <c r="P100" s="108">
        <v>0</v>
      </c>
    </row>
    <row r="101" spans="1:16" x14ac:dyDescent="0.2">
      <c r="A101" s="122" t="s">
        <v>117</v>
      </c>
      <c r="B101" s="181">
        <v>0</v>
      </c>
      <c r="C101" s="182">
        <v>0</v>
      </c>
      <c r="D101" s="113">
        <v>0</v>
      </c>
      <c r="E101" s="108">
        <v>0</v>
      </c>
      <c r="F101" s="482"/>
      <c r="G101" s="533"/>
      <c r="H101" s="534"/>
      <c r="I101" s="485"/>
      <c r="J101" s="181">
        <v>0</v>
      </c>
      <c r="K101" s="182">
        <v>0</v>
      </c>
      <c r="L101" s="113">
        <v>0</v>
      </c>
      <c r="M101" s="113">
        <v>0</v>
      </c>
      <c r="N101" s="113">
        <v>0</v>
      </c>
      <c r="O101" s="562">
        <v>0</v>
      </c>
      <c r="P101" s="108">
        <v>0</v>
      </c>
    </row>
    <row r="102" spans="1:16" ht="36" x14ac:dyDescent="0.2">
      <c r="A102" s="122" t="s">
        <v>118</v>
      </c>
      <c r="B102" s="181">
        <v>22.5</v>
      </c>
      <c r="C102" s="182">
        <v>20.25</v>
      </c>
      <c r="D102" s="113">
        <v>17</v>
      </c>
      <c r="E102" s="108">
        <f t="shared" si="30"/>
        <v>-0.1307730126396468</v>
      </c>
      <c r="F102" s="482"/>
      <c r="G102" s="533"/>
      <c r="H102" s="534"/>
      <c r="I102" s="485"/>
      <c r="J102" s="114">
        <v>19</v>
      </c>
      <c r="K102" s="114">
        <v>21</v>
      </c>
      <c r="L102" s="114">
        <v>23</v>
      </c>
      <c r="M102" s="114">
        <v>25</v>
      </c>
      <c r="N102" s="114">
        <v>27</v>
      </c>
      <c r="O102" s="114">
        <v>29</v>
      </c>
      <c r="P102" s="108">
        <f t="shared" si="29"/>
        <v>8.8250510077879055E-2</v>
      </c>
    </row>
    <row r="103" spans="1:16" ht="24" x14ac:dyDescent="0.2">
      <c r="A103" s="122" t="s">
        <v>119</v>
      </c>
      <c r="B103" s="181">
        <v>0</v>
      </c>
      <c r="C103" s="182">
        <v>0</v>
      </c>
      <c r="D103" s="113">
        <v>0</v>
      </c>
      <c r="E103" s="108">
        <v>0</v>
      </c>
      <c r="F103" s="482"/>
      <c r="G103" s="533"/>
      <c r="H103" s="534"/>
      <c r="I103" s="485"/>
      <c r="J103" s="181">
        <v>0</v>
      </c>
      <c r="K103" s="182">
        <v>0</v>
      </c>
      <c r="L103" s="182">
        <v>0</v>
      </c>
      <c r="M103" s="182">
        <v>0</v>
      </c>
      <c r="N103" s="236">
        <v>0</v>
      </c>
      <c r="O103" s="560">
        <v>0</v>
      </c>
      <c r="P103" s="108">
        <v>0</v>
      </c>
    </row>
    <row r="104" spans="1:16" ht="24" x14ac:dyDescent="0.2">
      <c r="A104" s="122" t="s">
        <v>120</v>
      </c>
      <c r="B104" s="181">
        <v>0</v>
      </c>
      <c r="C104" s="182">
        <v>0</v>
      </c>
      <c r="D104" s="113">
        <v>0</v>
      </c>
      <c r="E104" s="108">
        <v>0</v>
      </c>
      <c r="F104" s="482"/>
      <c r="G104" s="533"/>
      <c r="H104" s="534"/>
      <c r="I104" s="485"/>
      <c r="J104" s="181">
        <v>0</v>
      </c>
      <c r="K104" s="182">
        <v>0</v>
      </c>
      <c r="L104" s="182">
        <v>0</v>
      </c>
      <c r="M104" s="182">
        <v>0</v>
      </c>
      <c r="N104" s="236">
        <v>0</v>
      </c>
      <c r="O104" s="560">
        <v>0</v>
      </c>
      <c r="P104" s="108">
        <v>0</v>
      </c>
    </row>
    <row r="105" spans="1:16" x14ac:dyDescent="0.2">
      <c r="A105" s="122" t="s">
        <v>121</v>
      </c>
      <c r="B105" s="181">
        <v>0</v>
      </c>
      <c r="C105" s="182">
        <v>0</v>
      </c>
      <c r="D105" s="113">
        <v>0</v>
      </c>
      <c r="E105" s="108">
        <v>0</v>
      </c>
      <c r="F105" s="482"/>
      <c r="G105" s="533"/>
      <c r="H105" s="534"/>
      <c r="I105" s="485"/>
      <c r="J105" s="181">
        <v>0</v>
      </c>
      <c r="K105" s="182">
        <v>0</v>
      </c>
      <c r="L105" s="182">
        <v>0</v>
      </c>
      <c r="M105" s="182">
        <v>0</v>
      </c>
      <c r="N105" s="236">
        <v>0</v>
      </c>
      <c r="O105" s="560">
        <v>0</v>
      </c>
      <c r="P105" s="108">
        <v>0</v>
      </c>
    </row>
    <row r="106" spans="1:16" ht="36" x14ac:dyDescent="0.2">
      <c r="A106" s="122" t="s">
        <v>122</v>
      </c>
      <c r="B106" s="181">
        <v>8.5</v>
      </c>
      <c r="C106" s="182">
        <v>10.417</v>
      </c>
      <c r="D106" s="113">
        <v>5</v>
      </c>
      <c r="E106" s="108">
        <f t="shared" si="30"/>
        <v>-0.23303501115262959</v>
      </c>
      <c r="F106" s="482"/>
      <c r="G106" s="533"/>
      <c r="H106" s="534"/>
      <c r="I106" s="485"/>
      <c r="J106" s="114">
        <v>6</v>
      </c>
      <c r="K106" s="114">
        <v>7</v>
      </c>
      <c r="L106" s="114">
        <v>7</v>
      </c>
      <c r="M106" s="114">
        <v>8</v>
      </c>
      <c r="N106" s="114">
        <v>9</v>
      </c>
      <c r="O106" s="114">
        <v>9</v>
      </c>
      <c r="P106" s="108">
        <f t="shared" si="29"/>
        <v>8.4471771197995899E-2</v>
      </c>
    </row>
    <row r="107" spans="1:16" ht="24.75" thickBot="1" x14ac:dyDescent="0.25">
      <c r="A107" s="125" t="s">
        <v>123</v>
      </c>
      <c r="B107" s="183">
        <v>0</v>
      </c>
      <c r="C107" s="184">
        <v>2.5</v>
      </c>
      <c r="D107" s="170">
        <v>3</v>
      </c>
      <c r="E107" s="126">
        <v>0</v>
      </c>
      <c r="F107" s="535"/>
      <c r="G107" s="536"/>
      <c r="H107" s="537"/>
      <c r="I107" s="538"/>
      <c r="J107" s="114">
        <v>5</v>
      </c>
      <c r="K107" s="114">
        <v>5</v>
      </c>
      <c r="L107" s="114">
        <v>5</v>
      </c>
      <c r="M107" s="114">
        <v>6</v>
      </c>
      <c r="N107" s="114">
        <v>6</v>
      </c>
      <c r="O107" s="114">
        <v>7</v>
      </c>
      <c r="P107" s="166">
        <f t="shared" si="29"/>
        <v>6.9610375725068813E-2</v>
      </c>
    </row>
    <row r="108" spans="1:16" ht="24.75" thickBot="1" x14ac:dyDescent="0.25">
      <c r="A108" s="123" t="s">
        <v>190</v>
      </c>
      <c r="B108" s="185">
        <f>SUM(B95:B107)</f>
        <v>73.25</v>
      </c>
      <c r="C108" s="186">
        <f>SUM(C95:C107)</f>
        <v>65.75</v>
      </c>
      <c r="D108" s="116">
        <f>SUM(D95:D107)</f>
        <v>53</v>
      </c>
      <c r="E108" s="11">
        <f t="shared" si="30"/>
        <v>-0.14938287810871831</v>
      </c>
      <c r="F108" s="539"/>
      <c r="G108" s="540"/>
      <c r="H108" s="541"/>
      <c r="I108" s="550"/>
      <c r="J108" s="177">
        <f t="shared" ref="J108:O108" si="36">SUM(J95:J107)</f>
        <v>61</v>
      </c>
      <c r="K108" s="178">
        <f t="shared" si="36"/>
        <v>66</v>
      </c>
      <c r="L108" s="178">
        <f t="shared" si="36"/>
        <v>70</v>
      </c>
      <c r="M108" s="178">
        <f t="shared" si="36"/>
        <v>76</v>
      </c>
      <c r="N108" s="178">
        <f t="shared" si="36"/>
        <v>82</v>
      </c>
      <c r="O108" s="178">
        <f t="shared" si="36"/>
        <v>89</v>
      </c>
      <c r="P108" s="208">
        <f t="shared" si="29"/>
        <v>7.8479847626444194E-2</v>
      </c>
    </row>
    <row r="109" spans="1:16" ht="24" x14ac:dyDescent="0.2">
      <c r="A109" s="127" t="s">
        <v>125</v>
      </c>
      <c r="B109" s="187">
        <v>0</v>
      </c>
      <c r="C109" s="188">
        <v>0</v>
      </c>
      <c r="D109" s="171">
        <v>0</v>
      </c>
      <c r="E109" s="37">
        <v>0</v>
      </c>
      <c r="F109" s="547"/>
      <c r="G109" s="544"/>
      <c r="H109" s="545"/>
      <c r="I109" s="546"/>
      <c r="J109" s="187">
        <v>0</v>
      </c>
      <c r="K109" s="188">
        <v>0</v>
      </c>
      <c r="L109" s="188">
        <v>0</v>
      </c>
      <c r="M109" s="188">
        <v>0</v>
      </c>
      <c r="N109" s="188">
        <v>0</v>
      </c>
      <c r="O109" s="188">
        <v>0</v>
      </c>
      <c r="P109" s="12">
        <v>0</v>
      </c>
    </row>
    <row r="110" spans="1:16" ht="24" x14ac:dyDescent="0.2">
      <c r="A110" s="122" t="s">
        <v>126</v>
      </c>
      <c r="B110" s="181">
        <v>0</v>
      </c>
      <c r="C110" s="182">
        <v>0</v>
      </c>
      <c r="D110" s="113">
        <v>0</v>
      </c>
      <c r="E110" s="108">
        <v>0</v>
      </c>
      <c r="F110" s="548"/>
      <c r="G110" s="533"/>
      <c r="H110" s="534"/>
      <c r="I110" s="485"/>
      <c r="J110" s="181">
        <v>0</v>
      </c>
      <c r="K110" s="182">
        <v>0</v>
      </c>
      <c r="L110" s="182">
        <v>0</v>
      </c>
      <c r="M110" s="182">
        <v>0</v>
      </c>
      <c r="N110" s="182">
        <v>0</v>
      </c>
      <c r="O110" s="182">
        <v>0</v>
      </c>
      <c r="P110" s="108">
        <v>0</v>
      </c>
    </row>
    <row r="111" spans="1:16" ht="36" x14ac:dyDescent="0.2">
      <c r="A111" s="122" t="s">
        <v>127</v>
      </c>
      <c r="B111" s="181">
        <v>0</v>
      </c>
      <c r="C111" s="182">
        <v>0</v>
      </c>
      <c r="D111" s="113">
        <v>0</v>
      </c>
      <c r="E111" s="108">
        <v>0</v>
      </c>
      <c r="F111" s="548"/>
      <c r="G111" s="533"/>
      <c r="H111" s="534"/>
      <c r="I111" s="485"/>
      <c r="J111" s="181">
        <v>0</v>
      </c>
      <c r="K111" s="182">
        <v>0</v>
      </c>
      <c r="L111" s="182">
        <v>0</v>
      </c>
      <c r="M111" s="182">
        <v>0</v>
      </c>
      <c r="N111" s="182">
        <v>0</v>
      </c>
      <c r="O111" s="182">
        <v>0</v>
      </c>
      <c r="P111" s="108">
        <v>0</v>
      </c>
    </row>
    <row r="112" spans="1:16" x14ac:dyDescent="0.2">
      <c r="A112" s="122" t="s">
        <v>128</v>
      </c>
      <c r="B112" s="181">
        <v>47.832999999999998</v>
      </c>
      <c r="C112" s="182">
        <v>52.75</v>
      </c>
      <c r="D112" s="113">
        <v>58</v>
      </c>
      <c r="E112" s="108">
        <f t="shared" si="30"/>
        <v>0.10115939075445235</v>
      </c>
      <c r="F112" s="548"/>
      <c r="G112" s="533"/>
      <c r="H112" s="534"/>
      <c r="I112" s="485"/>
      <c r="J112" s="114">
        <v>63</v>
      </c>
      <c r="K112" s="114">
        <v>69</v>
      </c>
      <c r="L112" s="114">
        <v>75</v>
      </c>
      <c r="M112" s="114">
        <v>81</v>
      </c>
      <c r="N112" s="114">
        <v>89</v>
      </c>
      <c r="O112" s="114">
        <v>96</v>
      </c>
      <c r="P112" s="108">
        <f t="shared" si="29"/>
        <v>8.7892885777801369E-2</v>
      </c>
    </row>
    <row r="113" spans="1:16" ht="24" x14ac:dyDescent="0.2">
      <c r="A113" s="122" t="s">
        <v>129</v>
      </c>
      <c r="B113" s="181">
        <v>42.167000000000002</v>
      </c>
      <c r="C113" s="182">
        <v>48.582999999999998</v>
      </c>
      <c r="D113" s="113">
        <v>47</v>
      </c>
      <c r="E113" s="108">
        <f t="shared" si="30"/>
        <v>5.575361459840189E-2</v>
      </c>
      <c r="F113" s="548"/>
      <c r="G113" s="533"/>
      <c r="H113" s="534"/>
      <c r="I113" s="485"/>
      <c r="J113" s="114">
        <v>52</v>
      </c>
      <c r="K113" s="114">
        <v>56</v>
      </c>
      <c r="L113" s="114">
        <v>61</v>
      </c>
      <c r="M113" s="114">
        <v>66</v>
      </c>
      <c r="N113" s="114">
        <v>72</v>
      </c>
      <c r="O113" s="114">
        <v>78</v>
      </c>
      <c r="P113" s="108">
        <f t="shared" si="29"/>
        <v>8.4471771197995899E-2</v>
      </c>
    </row>
    <row r="114" spans="1:16" ht="24" x14ac:dyDescent="0.2">
      <c r="A114" s="122" t="s">
        <v>130</v>
      </c>
      <c r="B114" s="181">
        <v>10.167</v>
      </c>
      <c r="C114" s="182">
        <v>9.8330000000000002</v>
      </c>
      <c r="D114" s="113">
        <v>9</v>
      </c>
      <c r="E114" s="108">
        <f t="shared" si="30"/>
        <v>-5.9140351521469903E-2</v>
      </c>
      <c r="F114" s="548"/>
      <c r="G114" s="533"/>
      <c r="H114" s="534"/>
      <c r="I114" s="485"/>
      <c r="J114" s="114">
        <v>11</v>
      </c>
      <c r="K114" s="114">
        <v>12</v>
      </c>
      <c r="L114" s="114">
        <v>14</v>
      </c>
      <c r="M114" s="114">
        <v>15</v>
      </c>
      <c r="N114" s="114">
        <v>16</v>
      </c>
      <c r="O114" s="114">
        <v>17</v>
      </c>
      <c r="P114" s="108">
        <f t="shared" si="29"/>
        <v>9.0966078501454495E-2</v>
      </c>
    </row>
    <row r="115" spans="1:16" x14ac:dyDescent="0.2">
      <c r="A115" s="122" t="s">
        <v>131</v>
      </c>
      <c r="B115" s="181">
        <v>2.75</v>
      </c>
      <c r="C115" s="182">
        <v>3.5</v>
      </c>
      <c r="D115" s="113">
        <v>1</v>
      </c>
      <c r="E115" s="108">
        <f t="shared" si="30"/>
        <v>-0.39697731084447274</v>
      </c>
      <c r="F115" s="548"/>
      <c r="G115" s="533"/>
      <c r="H115" s="534"/>
      <c r="I115" s="485"/>
      <c r="J115" s="114">
        <v>2</v>
      </c>
      <c r="K115" s="114">
        <v>2</v>
      </c>
      <c r="L115" s="114">
        <v>2</v>
      </c>
      <c r="M115" s="114">
        <v>3</v>
      </c>
      <c r="N115" s="114">
        <v>3</v>
      </c>
      <c r="O115" s="114">
        <v>3</v>
      </c>
      <c r="P115" s="108">
        <f t="shared" si="29"/>
        <v>8.4471771197995899E-2</v>
      </c>
    </row>
    <row r="116" spans="1:16" ht="24.75" thickBot="1" x14ac:dyDescent="0.25">
      <c r="A116" s="125" t="s">
        <v>132</v>
      </c>
      <c r="B116" s="183">
        <v>0</v>
      </c>
      <c r="C116" s="184">
        <v>0</v>
      </c>
      <c r="D116" s="170">
        <v>0</v>
      </c>
      <c r="E116" s="126">
        <v>0</v>
      </c>
      <c r="F116" s="549"/>
      <c r="G116" s="530"/>
      <c r="H116" s="531"/>
      <c r="I116" s="538"/>
      <c r="J116" s="183">
        <v>0</v>
      </c>
      <c r="K116" s="184">
        <v>0</v>
      </c>
      <c r="L116" s="558">
        <v>0</v>
      </c>
      <c r="M116" s="237">
        <v>0</v>
      </c>
      <c r="N116" s="184">
        <v>0</v>
      </c>
      <c r="O116" s="170">
        <v>0</v>
      </c>
      <c r="P116" s="108">
        <v>0</v>
      </c>
    </row>
    <row r="117" spans="1:16" ht="24.75" thickBot="1" x14ac:dyDescent="0.25">
      <c r="A117" s="123" t="s">
        <v>189</v>
      </c>
      <c r="B117" s="185">
        <f>SUM(B109:B116)</f>
        <v>102.917</v>
      </c>
      <c r="C117" s="186">
        <f t="shared" ref="C117" si="37">SUM(C109:C116)</f>
        <v>114.666</v>
      </c>
      <c r="D117" s="557">
        <f>SUM(C109:C116)</f>
        <v>114.666</v>
      </c>
      <c r="E117" s="11">
        <f t="shared" si="30"/>
        <v>5.553775590350174E-2</v>
      </c>
      <c r="F117" s="25">
        <v>166</v>
      </c>
      <c r="G117" s="25">
        <v>190</v>
      </c>
      <c r="H117" s="15">
        <v>204</v>
      </c>
      <c r="I117" s="11">
        <v>0.28782055229869569</v>
      </c>
      <c r="J117" s="177">
        <f t="shared" ref="J117:O117" si="38">SUM(J109:J116)</f>
        <v>128</v>
      </c>
      <c r="K117" s="178">
        <f t="shared" si="38"/>
        <v>139</v>
      </c>
      <c r="L117" s="178">
        <f t="shared" si="38"/>
        <v>152</v>
      </c>
      <c r="M117" s="178">
        <f t="shared" si="38"/>
        <v>165</v>
      </c>
      <c r="N117" s="178">
        <f t="shared" si="38"/>
        <v>180</v>
      </c>
      <c r="O117" s="267">
        <f t="shared" si="38"/>
        <v>194</v>
      </c>
      <c r="P117" s="11">
        <f t="shared" si="29"/>
        <v>8.6721731981037484E-2</v>
      </c>
    </row>
  </sheetData>
  <mergeCells count="36">
    <mergeCell ref="B12:F12"/>
    <mergeCell ref="A21:P21"/>
    <mergeCell ref="K73:Q73"/>
    <mergeCell ref="G73:J73"/>
    <mergeCell ref="A10:P10"/>
    <mergeCell ref="A11:P11"/>
    <mergeCell ref="A58:P58"/>
    <mergeCell ref="A57:P57"/>
    <mergeCell ref="A51:P51"/>
    <mergeCell ref="A50:P50"/>
    <mergeCell ref="G52:J52"/>
    <mergeCell ref="K12:Q12"/>
    <mergeCell ref="G12:J12"/>
    <mergeCell ref="A22:P22"/>
    <mergeCell ref="B23:E23"/>
    <mergeCell ref="F23:I23"/>
    <mergeCell ref="A91:P91"/>
    <mergeCell ref="A92:P92"/>
    <mergeCell ref="B93:E93"/>
    <mergeCell ref="F93:I93"/>
    <mergeCell ref="J93:P93"/>
    <mergeCell ref="J83:O83"/>
    <mergeCell ref="K52:Q52"/>
    <mergeCell ref="K59:Q59"/>
    <mergeCell ref="J66:O66"/>
    <mergeCell ref="J23:P23"/>
    <mergeCell ref="A82:N82"/>
    <mergeCell ref="A81:N81"/>
    <mergeCell ref="A72:P72"/>
    <mergeCell ref="A71:P71"/>
    <mergeCell ref="A64:N64"/>
    <mergeCell ref="B52:F52"/>
    <mergeCell ref="B59:F59"/>
    <mergeCell ref="B66:F66"/>
    <mergeCell ref="B73:F73"/>
    <mergeCell ref="B83:F83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workbookViewId="0">
      <selection activeCell="E83" sqref="E83"/>
    </sheetView>
  </sheetViews>
  <sheetFormatPr defaultRowHeight="12.75" x14ac:dyDescent="0.2"/>
  <cols>
    <col min="1" max="1" width="27.5703125" customWidth="1"/>
    <col min="6" max="6" width="10.85546875" customWidth="1"/>
    <col min="7" max="7" width="9.28515625" customWidth="1"/>
    <col min="9" max="9" width="9.7109375" customWidth="1"/>
    <col min="10" max="11" width="9.5703125" customWidth="1"/>
    <col min="12" max="12" width="9.85546875" customWidth="1"/>
    <col min="16" max="16" width="10.28515625" customWidth="1"/>
  </cols>
  <sheetData>
    <row r="1" spans="1:17" s="68" customFormat="1" ht="23.25" x14ac:dyDescent="0.35">
      <c r="A1" s="66" t="s">
        <v>72</v>
      </c>
      <c r="B1" s="67"/>
      <c r="C1" s="67"/>
      <c r="D1" s="67"/>
      <c r="E1" s="67"/>
      <c r="F1" s="67"/>
    </row>
    <row r="2" spans="1:17" s="83" customFormat="1" ht="16.5" thickBot="1" x14ac:dyDescent="0.3">
      <c r="A2" s="82"/>
      <c r="B2" s="5"/>
      <c r="C2" s="4"/>
      <c r="D2" s="5"/>
      <c r="E2" s="5"/>
      <c r="F2" s="5"/>
    </row>
    <row r="3" spans="1:17" s="74" customFormat="1" ht="21" thickBot="1" x14ac:dyDescent="0.35">
      <c r="A3" s="653" t="s">
        <v>177</v>
      </c>
      <c r="B3" s="654"/>
      <c r="C3" s="654"/>
      <c r="D3" s="654"/>
      <c r="E3" s="654"/>
      <c r="F3" s="654"/>
      <c r="G3" s="654"/>
      <c r="H3" s="654"/>
      <c r="I3" s="654"/>
      <c r="J3" s="655"/>
      <c r="K3" s="164"/>
      <c r="L3" s="164"/>
    </row>
    <row r="6" spans="1:17" ht="18" x14ac:dyDescent="0.25">
      <c r="A6" s="6" t="s">
        <v>53</v>
      </c>
    </row>
    <row r="7" spans="1:17" x14ac:dyDescent="0.2">
      <c r="A7" t="s">
        <v>35</v>
      </c>
    </row>
    <row r="10" spans="1:17" ht="15.75" x14ac:dyDescent="0.25">
      <c r="A10" s="644" t="s">
        <v>30</v>
      </c>
      <c r="B10" s="644"/>
      <c r="C10" s="644"/>
      <c r="D10" s="644"/>
      <c r="E10" s="644"/>
      <c r="F10" s="644"/>
      <c r="G10" s="644"/>
      <c r="H10" s="644"/>
      <c r="I10" s="644"/>
      <c r="J10" s="644"/>
      <c r="K10" s="644"/>
      <c r="L10" s="644"/>
      <c r="M10" s="644"/>
      <c r="N10" s="644"/>
      <c r="O10" s="644"/>
      <c r="P10" s="644"/>
    </row>
    <row r="11" spans="1:17" ht="16.5" thickBot="1" x14ac:dyDescent="0.3">
      <c r="A11" s="643" t="s">
        <v>16</v>
      </c>
      <c r="B11" s="643"/>
      <c r="C11" s="643"/>
      <c r="D11" s="643"/>
      <c r="E11" s="643"/>
      <c r="F11" s="643"/>
      <c r="G11" s="643"/>
      <c r="H11" s="643"/>
      <c r="I11" s="643"/>
      <c r="J11" s="643"/>
      <c r="K11" s="643"/>
      <c r="L11" s="643"/>
      <c r="M11" s="643"/>
      <c r="N11" s="643"/>
      <c r="O11" s="643"/>
      <c r="P11" s="643"/>
    </row>
    <row r="12" spans="1:17" ht="16.5" thickBot="1" x14ac:dyDescent="0.3">
      <c r="A12" s="52"/>
      <c r="B12" s="650" t="s">
        <v>75</v>
      </c>
      <c r="C12" s="651"/>
      <c r="D12" s="651"/>
      <c r="E12" s="651"/>
      <c r="F12" s="652"/>
      <c r="G12" s="647" t="s">
        <v>171</v>
      </c>
      <c r="H12" s="645"/>
      <c r="I12" s="646"/>
      <c r="J12" s="646"/>
      <c r="K12" s="647" t="s">
        <v>3</v>
      </c>
      <c r="L12" s="648"/>
      <c r="M12" s="648"/>
      <c r="N12" s="648"/>
      <c r="O12" s="648"/>
      <c r="P12" s="648"/>
      <c r="Q12" s="649"/>
    </row>
    <row r="13" spans="1:17" ht="60.75" thickBot="1" x14ac:dyDescent="0.25">
      <c r="A13" s="38"/>
      <c r="B13" s="359">
        <v>2008</v>
      </c>
      <c r="C13" s="368">
        <v>2009</v>
      </c>
      <c r="D13" s="368">
        <v>2010</v>
      </c>
      <c r="E13" s="368">
        <v>2011</v>
      </c>
      <c r="F13" s="401">
        <v>2012</v>
      </c>
      <c r="G13" s="148" t="s">
        <v>172</v>
      </c>
      <c r="H13" s="10" t="s">
        <v>76</v>
      </c>
      <c r="I13" s="18" t="s">
        <v>77</v>
      </c>
      <c r="J13" s="234" t="s">
        <v>0</v>
      </c>
      <c r="K13" s="88" t="s">
        <v>65</v>
      </c>
      <c r="L13" s="10" t="s">
        <v>66</v>
      </c>
      <c r="M13" s="10" t="s">
        <v>67</v>
      </c>
      <c r="N13" s="10" t="s">
        <v>68</v>
      </c>
      <c r="O13" s="10" t="s">
        <v>69</v>
      </c>
      <c r="P13" s="39" t="s">
        <v>70</v>
      </c>
      <c r="Q13" s="9" t="s">
        <v>71</v>
      </c>
    </row>
    <row r="14" spans="1:17" s="62" customFormat="1" ht="13.5" thickBot="1" x14ac:dyDescent="0.25">
      <c r="A14" s="435" t="s">
        <v>1</v>
      </c>
      <c r="B14" s="467">
        <v>20.329999999999998</v>
      </c>
      <c r="C14" s="436">
        <v>32.167000000000002</v>
      </c>
      <c r="D14" s="468">
        <v>15.5</v>
      </c>
      <c r="E14" s="469">
        <v>11.5</v>
      </c>
      <c r="F14" s="470">
        <v>11.5</v>
      </c>
      <c r="G14" s="158">
        <f t="shared" ref="G14:I14" si="0">0.34*G18</f>
        <v>25.500000000000004</v>
      </c>
      <c r="H14" s="158">
        <f t="shared" si="0"/>
        <v>26.520000000000003</v>
      </c>
      <c r="I14" s="235">
        <f t="shared" si="0"/>
        <v>27.540000000000003</v>
      </c>
      <c r="J14" s="263">
        <f>(POWER(I14/C14,1/4))-1</f>
        <v>-3.8081351878196057E-2</v>
      </c>
      <c r="K14" s="459">
        <v>13</v>
      </c>
      <c r="L14" s="329">
        <v>14</v>
      </c>
      <c r="M14" s="329">
        <v>15</v>
      </c>
      <c r="N14" s="329">
        <v>16</v>
      </c>
      <c r="O14" s="329">
        <v>17</v>
      </c>
      <c r="P14" s="329">
        <v>19</v>
      </c>
      <c r="Q14" s="253">
        <f>(POWER(P14/K14,1/5))-1</f>
        <v>7.8852443962371455E-2</v>
      </c>
    </row>
    <row r="15" spans="1:17" ht="24" x14ac:dyDescent="0.2">
      <c r="A15" s="555" t="s">
        <v>4</v>
      </c>
      <c r="B15" s="463">
        <v>60.5</v>
      </c>
      <c r="C15" s="464">
        <v>67.25</v>
      </c>
      <c r="D15" s="241">
        <v>51</v>
      </c>
      <c r="E15" s="465">
        <v>43.5</v>
      </c>
      <c r="F15" s="466">
        <f>48.5</f>
        <v>48.5</v>
      </c>
      <c r="G15" s="200">
        <v>73</v>
      </c>
      <c r="H15" s="144">
        <v>76</v>
      </c>
      <c r="I15" s="196">
        <v>79</v>
      </c>
      <c r="J15" s="456">
        <f t="shared" ref="J15:J18" si="1">(POWER(I15/C15,1/4))-1</f>
        <v>4.1079034536905423E-2</v>
      </c>
      <c r="K15" s="92">
        <v>52</v>
      </c>
      <c r="L15" s="138">
        <v>54</v>
      </c>
      <c r="M15" s="138">
        <v>56</v>
      </c>
      <c r="N15" s="138">
        <v>58</v>
      </c>
      <c r="O15" s="138">
        <v>61</v>
      </c>
      <c r="P15" s="342">
        <v>65</v>
      </c>
      <c r="Q15" s="447">
        <f t="shared" ref="Q15:Q18" si="2">(POWER(P15/K15,1/5))-1</f>
        <v>4.5639552591273169E-2</v>
      </c>
    </row>
    <row r="16" spans="1:17" x14ac:dyDescent="0.2">
      <c r="A16" s="442" t="s">
        <v>203</v>
      </c>
      <c r="B16" s="439">
        <v>0</v>
      </c>
      <c r="C16" s="437">
        <v>0</v>
      </c>
      <c r="D16" s="438">
        <v>0</v>
      </c>
      <c r="E16" s="444">
        <v>0</v>
      </c>
      <c r="F16" s="445">
        <v>0</v>
      </c>
      <c r="G16" s="451">
        <v>0</v>
      </c>
      <c r="H16" s="450">
        <v>0</v>
      </c>
      <c r="I16" s="452">
        <v>0</v>
      </c>
      <c r="J16" s="457">
        <v>0</v>
      </c>
      <c r="K16" s="461">
        <v>0</v>
      </c>
      <c r="L16" s="460">
        <v>3</v>
      </c>
      <c r="M16" s="460">
        <v>4</v>
      </c>
      <c r="N16" s="460">
        <v>4</v>
      </c>
      <c r="O16" s="460">
        <v>5</v>
      </c>
      <c r="P16" s="462">
        <v>5</v>
      </c>
      <c r="Q16" s="448">
        <v>0</v>
      </c>
    </row>
    <row r="17" spans="1:19" ht="13.5" thickBot="1" x14ac:dyDescent="0.25">
      <c r="A17" s="443" t="s">
        <v>5</v>
      </c>
      <c r="B17" s="440">
        <v>0</v>
      </c>
      <c r="C17" s="411">
        <v>0</v>
      </c>
      <c r="D17" s="243">
        <v>1.333</v>
      </c>
      <c r="E17" s="412">
        <v>2.5830000000000002</v>
      </c>
      <c r="F17" s="446">
        <v>1.167</v>
      </c>
      <c r="G17" s="453">
        <v>2</v>
      </c>
      <c r="H17" s="454">
        <v>2</v>
      </c>
      <c r="I17" s="455">
        <v>2</v>
      </c>
      <c r="J17" s="458">
        <v>0</v>
      </c>
      <c r="K17" s="364">
        <v>3</v>
      </c>
      <c r="L17" s="343">
        <v>0</v>
      </c>
      <c r="M17" s="343">
        <v>0</v>
      </c>
      <c r="N17" s="343">
        <v>0</v>
      </c>
      <c r="O17" s="343">
        <v>0</v>
      </c>
      <c r="P17" s="344">
        <v>0</v>
      </c>
      <c r="Q17" s="449">
        <f t="shared" si="2"/>
        <v>-1</v>
      </c>
    </row>
    <row r="18" spans="1:19" ht="13.5" thickBot="1" x14ac:dyDescent="0.25">
      <c r="A18" s="205" t="s">
        <v>2</v>
      </c>
      <c r="B18" s="26">
        <f t="shared" ref="B18:C18" si="3">B15+B17</f>
        <v>60.5</v>
      </c>
      <c r="C18" s="14">
        <f t="shared" si="3"/>
        <v>67.25</v>
      </c>
      <c r="D18" s="434">
        <f>D15+D17</f>
        <v>52.332999999999998</v>
      </c>
      <c r="E18" s="14">
        <f>E15+E17</f>
        <v>46.082999999999998</v>
      </c>
      <c r="F18" s="414">
        <f>SUM(F15:F17)</f>
        <v>49.667000000000002</v>
      </c>
      <c r="G18" s="338">
        <f>G15+G17</f>
        <v>75</v>
      </c>
      <c r="H18" s="338">
        <f>H15+H17</f>
        <v>78</v>
      </c>
      <c r="I18" s="394">
        <f>I15+I17</f>
        <v>81</v>
      </c>
      <c r="J18" s="11">
        <f t="shared" si="1"/>
        <v>4.7606495555199579E-2</v>
      </c>
      <c r="K18" s="338">
        <f t="shared" ref="K18:P18" si="4">K15+K17</f>
        <v>55</v>
      </c>
      <c r="L18" s="338">
        <f t="shared" si="4"/>
        <v>54</v>
      </c>
      <c r="M18" s="338">
        <f t="shared" si="4"/>
        <v>56</v>
      </c>
      <c r="N18" s="338">
        <f t="shared" si="4"/>
        <v>58</v>
      </c>
      <c r="O18" s="338">
        <f t="shared" si="4"/>
        <v>61</v>
      </c>
      <c r="P18" s="339">
        <f t="shared" si="4"/>
        <v>65</v>
      </c>
      <c r="Q18" s="208">
        <f t="shared" si="2"/>
        <v>3.3975226531950176E-2</v>
      </c>
    </row>
    <row r="21" spans="1:19" ht="15.75" x14ac:dyDescent="0.25">
      <c r="A21" s="644" t="s">
        <v>201</v>
      </c>
      <c r="B21" s="644"/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</row>
    <row r="22" spans="1:19" ht="16.5" thickBot="1" x14ac:dyDescent="0.3">
      <c r="A22" s="643" t="s">
        <v>16</v>
      </c>
      <c r="B22" s="643"/>
      <c r="C22" s="643"/>
      <c r="D22" s="643"/>
      <c r="E22" s="643"/>
      <c r="F22" s="643"/>
      <c r="G22" s="643"/>
      <c r="H22" s="643"/>
      <c r="I22" s="643"/>
      <c r="J22" s="643"/>
      <c r="K22" s="643"/>
      <c r="L22" s="643"/>
      <c r="M22" s="643"/>
      <c r="N22" s="643"/>
      <c r="O22" s="643"/>
      <c r="P22" s="643"/>
    </row>
    <row r="23" spans="1:19" ht="16.5" customHeight="1" thickBot="1" x14ac:dyDescent="0.3">
      <c r="A23" s="103"/>
      <c r="B23" s="647" t="s">
        <v>178</v>
      </c>
      <c r="C23" s="645"/>
      <c r="D23" s="645"/>
      <c r="E23" s="646"/>
      <c r="F23" s="647" t="s">
        <v>171</v>
      </c>
      <c r="G23" s="645"/>
      <c r="H23" s="645"/>
      <c r="I23" s="646"/>
      <c r="J23" s="647" t="s">
        <v>3</v>
      </c>
      <c r="K23" s="645"/>
      <c r="L23" s="645"/>
      <c r="M23" s="645"/>
      <c r="N23" s="645"/>
      <c r="O23" s="645"/>
      <c r="P23" s="646"/>
    </row>
    <row r="24" spans="1:19" ht="60.75" thickBot="1" x14ac:dyDescent="0.25">
      <c r="A24" s="51"/>
      <c r="B24" s="88">
        <v>2010</v>
      </c>
      <c r="C24" s="7">
        <v>2011</v>
      </c>
      <c r="D24" s="10">
        <v>2012</v>
      </c>
      <c r="E24" s="9" t="s">
        <v>180</v>
      </c>
      <c r="F24" s="148" t="s">
        <v>172</v>
      </c>
      <c r="G24" s="10" t="s">
        <v>76</v>
      </c>
      <c r="H24" s="39" t="s">
        <v>77</v>
      </c>
      <c r="I24" s="9" t="s">
        <v>181</v>
      </c>
      <c r="J24" s="88" t="s">
        <v>65</v>
      </c>
      <c r="K24" s="10" t="s">
        <v>66</v>
      </c>
      <c r="L24" s="10" t="s">
        <v>67</v>
      </c>
      <c r="M24" s="10" t="s">
        <v>68</v>
      </c>
      <c r="N24" s="10" t="s">
        <v>69</v>
      </c>
      <c r="O24" s="39" t="s">
        <v>70</v>
      </c>
      <c r="P24" s="9" t="s">
        <v>71</v>
      </c>
    </row>
    <row r="25" spans="1:19" ht="13.5" thickBot="1" x14ac:dyDescent="0.25">
      <c r="A25" s="106" t="s">
        <v>141</v>
      </c>
      <c r="B25" s="191">
        <v>61</v>
      </c>
      <c r="C25" s="192">
        <v>67</v>
      </c>
      <c r="D25" s="192">
        <v>50</v>
      </c>
      <c r="E25" s="121">
        <f>(POWER(D25/B25,1/2))-1</f>
        <v>-9.4642539574814721E-2</v>
      </c>
      <c r="F25" s="192">
        <v>75</v>
      </c>
      <c r="G25" s="109">
        <v>78</v>
      </c>
      <c r="H25" s="110">
        <v>81</v>
      </c>
      <c r="I25" s="121">
        <f>(POWER(H25/C25,1/2))-1</f>
        <v>9.9524999206747067E-2</v>
      </c>
      <c r="J25" s="192">
        <f>K18</f>
        <v>55</v>
      </c>
      <c r="K25" s="192">
        <f t="shared" ref="K25:O25" si="5">L18</f>
        <v>54</v>
      </c>
      <c r="L25" s="192">
        <f t="shared" si="5"/>
        <v>56</v>
      </c>
      <c r="M25" s="192">
        <f t="shared" si="5"/>
        <v>58</v>
      </c>
      <c r="N25" s="192">
        <f t="shared" si="5"/>
        <v>61</v>
      </c>
      <c r="O25" s="192">
        <f t="shared" si="5"/>
        <v>65</v>
      </c>
      <c r="P25" s="108">
        <f t="shared" ref="P25:P26" si="6">RATE(5,,-J25,O25)</f>
        <v>3.3975226532552139E-2</v>
      </c>
    </row>
    <row r="26" spans="1:19" ht="24.75" thickBot="1" x14ac:dyDescent="0.25">
      <c r="A26" s="120" t="s">
        <v>144</v>
      </c>
      <c r="B26" s="185">
        <f t="shared" ref="B26:H26" si="7">SUM(B25:B25)</f>
        <v>61</v>
      </c>
      <c r="C26" s="193">
        <f t="shared" si="7"/>
        <v>67</v>
      </c>
      <c r="D26" s="193">
        <v>50</v>
      </c>
      <c r="E26" s="11">
        <f>(POWER(D26/B26,1/2))-1</f>
        <v>-9.4642539574814721E-2</v>
      </c>
      <c r="F26" s="193">
        <f t="shared" si="7"/>
        <v>75</v>
      </c>
      <c r="G26" s="193">
        <f t="shared" si="7"/>
        <v>78</v>
      </c>
      <c r="H26" s="193">
        <f t="shared" si="7"/>
        <v>81</v>
      </c>
      <c r="I26" s="11">
        <f>(POWER(H26/C26,1/2))-1</f>
        <v>9.9524999206747067E-2</v>
      </c>
      <c r="J26" s="178">
        <f t="shared" ref="J26:O26" si="8">SUM(J25:J25)</f>
        <v>55</v>
      </c>
      <c r="K26" s="178">
        <f t="shared" si="8"/>
        <v>54</v>
      </c>
      <c r="L26" s="178">
        <f t="shared" si="8"/>
        <v>56</v>
      </c>
      <c r="M26" s="178">
        <f t="shared" si="8"/>
        <v>58</v>
      </c>
      <c r="N26" s="178">
        <f t="shared" si="8"/>
        <v>61</v>
      </c>
      <c r="O26" s="190">
        <f t="shared" si="8"/>
        <v>65</v>
      </c>
      <c r="P26" s="11">
        <f t="shared" si="6"/>
        <v>3.3975226532552139E-2</v>
      </c>
    </row>
    <row r="30" spans="1:19" ht="15.75" x14ac:dyDescent="0.25">
      <c r="A30" s="644" t="s">
        <v>31</v>
      </c>
      <c r="B30" s="644"/>
      <c r="C30" s="644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36"/>
      <c r="R30" s="1"/>
    </row>
    <row r="31" spans="1:19" ht="16.5" thickBot="1" x14ac:dyDescent="0.3">
      <c r="A31" s="643" t="s">
        <v>11</v>
      </c>
      <c r="B31" s="643"/>
      <c r="C31" s="643"/>
      <c r="D31" s="643"/>
      <c r="E31" s="643"/>
      <c r="F31" s="643"/>
      <c r="G31" s="643"/>
      <c r="H31" s="643"/>
      <c r="I31" s="643"/>
      <c r="J31" s="643"/>
      <c r="K31" s="643"/>
      <c r="L31" s="643"/>
      <c r="M31" s="643"/>
      <c r="N31" s="643"/>
      <c r="O31" s="643"/>
      <c r="P31" s="643"/>
      <c r="Q31" s="43"/>
      <c r="R31" s="1"/>
    </row>
    <row r="32" spans="1:19" ht="16.5" thickBot="1" x14ac:dyDescent="0.3">
      <c r="A32" s="52"/>
      <c r="B32" s="650" t="s">
        <v>75</v>
      </c>
      <c r="C32" s="651"/>
      <c r="D32" s="651"/>
      <c r="E32" s="651"/>
      <c r="F32" s="652"/>
      <c r="G32" s="311" t="s">
        <v>171</v>
      </c>
      <c r="H32" s="140"/>
      <c r="I32" s="140"/>
      <c r="J32" s="141"/>
      <c r="K32" s="647" t="s">
        <v>6</v>
      </c>
      <c r="L32" s="648"/>
      <c r="M32" s="648"/>
      <c r="N32" s="648"/>
      <c r="O32" s="648"/>
      <c r="P32" s="648"/>
      <c r="Q32" s="649"/>
      <c r="R32" s="17"/>
      <c r="S32" s="17"/>
    </row>
    <row r="33" spans="1:17" ht="60.75" customHeight="1" thickBot="1" x14ac:dyDescent="0.25">
      <c r="A33" s="38"/>
      <c r="B33" s="359">
        <v>2008</v>
      </c>
      <c r="C33" s="368">
        <v>2009</v>
      </c>
      <c r="D33" s="368">
        <v>2010</v>
      </c>
      <c r="E33" s="368">
        <v>2011</v>
      </c>
      <c r="F33" s="395">
        <v>2012</v>
      </c>
      <c r="G33" s="148" t="s">
        <v>172</v>
      </c>
      <c r="H33" s="10" t="s">
        <v>76</v>
      </c>
      <c r="I33" s="39" t="s">
        <v>77</v>
      </c>
      <c r="J33" s="9" t="s">
        <v>0</v>
      </c>
      <c r="K33" s="88" t="s">
        <v>65</v>
      </c>
      <c r="L33" s="10" t="s">
        <v>66</v>
      </c>
      <c r="M33" s="10" t="s">
        <v>67</v>
      </c>
      <c r="N33" s="10" t="s">
        <v>68</v>
      </c>
      <c r="O33" s="10" t="s">
        <v>69</v>
      </c>
      <c r="P33" s="39" t="s">
        <v>70</v>
      </c>
      <c r="Q33" s="9" t="s">
        <v>71</v>
      </c>
    </row>
    <row r="34" spans="1:17" ht="13.5" thickBot="1" x14ac:dyDescent="0.25">
      <c r="A34" s="23" t="s">
        <v>2</v>
      </c>
      <c r="B34" s="26">
        <v>29.120999999999999</v>
      </c>
      <c r="C34" s="14">
        <v>32.454999999999998</v>
      </c>
      <c r="D34" s="14">
        <v>26</v>
      </c>
      <c r="E34" s="14">
        <v>23</v>
      </c>
      <c r="F34" s="16">
        <v>21</v>
      </c>
      <c r="G34" s="25">
        <v>36</v>
      </c>
      <c r="H34" s="25">
        <v>38</v>
      </c>
      <c r="I34" s="25">
        <v>39</v>
      </c>
      <c r="J34" s="11">
        <f>RATE(4,,-C34,I34)</f>
        <v>4.6997750023137518E-2</v>
      </c>
      <c r="K34" s="93">
        <v>28</v>
      </c>
      <c r="L34" s="93">
        <v>29</v>
      </c>
      <c r="M34" s="93">
        <v>31</v>
      </c>
      <c r="N34" s="93">
        <v>31</v>
      </c>
      <c r="O34" s="93">
        <v>34</v>
      </c>
      <c r="P34" s="93">
        <v>36</v>
      </c>
      <c r="Q34" s="11">
        <f>RATE(5,,-K34,P34)</f>
        <v>5.154749679729205E-2</v>
      </c>
    </row>
    <row r="37" spans="1:17" ht="15.75" x14ac:dyDescent="0.25">
      <c r="A37" s="644" t="s">
        <v>32</v>
      </c>
      <c r="B37" s="644"/>
      <c r="C37" s="644"/>
      <c r="D37" s="644"/>
      <c r="E37" s="644"/>
      <c r="F37" s="644"/>
      <c r="G37" s="644"/>
      <c r="H37" s="644"/>
      <c r="I37" s="644"/>
      <c r="J37" s="644"/>
      <c r="K37" s="644"/>
      <c r="L37" s="644"/>
      <c r="M37" s="644"/>
      <c r="N37" s="644"/>
      <c r="O37" s="644"/>
      <c r="P37" s="644"/>
    </row>
    <row r="38" spans="1:17" ht="16.5" thickBot="1" x14ac:dyDescent="0.3">
      <c r="A38" s="643" t="s">
        <v>12</v>
      </c>
      <c r="B38" s="643"/>
      <c r="C38" s="643"/>
      <c r="D38" s="643"/>
      <c r="E38" s="643"/>
      <c r="F38" s="643"/>
      <c r="G38" s="643"/>
      <c r="H38" s="643"/>
      <c r="I38" s="643"/>
      <c r="J38" s="643"/>
      <c r="K38" s="643"/>
      <c r="L38" s="643"/>
      <c r="M38" s="643"/>
      <c r="N38" s="643"/>
      <c r="O38" s="643"/>
      <c r="P38" s="643"/>
    </row>
    <row r="39" spans="1:17" ht="16.5" thickBot="1" x14ac:dyDescent="0.3">
      <c r="A39" s="52"/>
      <c r="B39" s="647" t="s">
        <v>75</v>
      </c>
      <c r="C39" s="645"/>
      <c r="D39" s="645"/>
      <c r="E39" s="645"/>
      <c r="F39" s="646"/>
      <c r="G39" s="311" t="s">
        <v>171</v>
      </c>
      <c r="H39" s="140"/>
      <c r="I39" s="140"/>
      <c r="J39" s="141"/>
      <c r="K39" s="647" t="s">
        <v>8</v>
      </c>
      <c r="L39" s="648"/>
      <c r="M39" s="648"/>
      <c r="N39" s="648"/>
      <c r="O39" s="648"/>
      <c r="P39" s="648"/>
      <c r="Q39" s="649"/>
    </row>
    <row r="40" spans="1:17" ht="60.75" thickBot="1" x14ac:dyDescent="0.25">
      <c r="A40" s="51"/>
      <c r="B40" s="101">
        <v>2008</v>
      </c>
      <c r="C40" s="7">
        <v>2009</v>
      </c>
      <c r="D40" s="10">
        <v>2010</v>
      </c>
      <c r="E40" s="18">
        <v>2011</v>
      </c>
      <c r="F40" s="18">
        <v>2012</v>
      </c>
      <c r="G40" s="148" t="s">
        <v>172</v>
      </c>
      <c r="H40" s="10" t="s">
        <v>76</v>
      </c>
      <c r="I40" s="39" t="s">
        <v>77</v>
      </c>
      <c r="J40" s="9" t="s">
        <v>0</v>
      </c>
      <c r="K40" s="88" t="s">
        <v>65</v>
      </c>
      <c r="L40" s="10" t="s">
        <v>66</v>
      </c>
      <c r="M40" s="10" t="s">
        <v>67</v>
      </c>
      <c r="N40" s="10" t="s">
        <v>68</v>
      </c>
      <c r="O40" s="10" t="s">
        <v>69</v>
      </c>
      <c r="P40" s="39" t="s">
        <v>70</v>
      </c>
      <c r="Q40" s="9" t="s">
        <v>71</v>
      </c>
    </row>
    <row r="41" spans="1:17" ht="13.5" thickBot="1" x14ac:dyDescent="0.25">
      <c r="A41" s="23" t="s">
        <v>2</v>
      </c>
      <c r="B41" s="24">
        <v>24.535999999999998</v>
      </c>
      <c r="C41" s="14">
        <v>27.921000000000003</v>
      </c>
      <c r="D41" s="25">
        <v>22</v>
      </c>
      <c r="E41" s="84">
        <v>20</v>
      </c>
      <c r="F41" s="84">
        <v>18</v>
      </c>
      <c r="G41" s="25">
        <v>31</v>
      </c>
      <c r="H41" s="25">
        <v>33</v>
      </c>
      <c r="I41" s="25">
        <v>34</v>
      </c>
      <c r="J41" s="11">
        <f>RATE(4,,-C41,I41)</f>
        <v>5.0478061989626934E-2</v>
      </c>
      <c r="K41" s="93">
        <v>24</v>
      </c>
      <c r="L41" s="93">
        <v>25</v>
      </c>
      <c r="M41" s="93">
        <v>27</v>
      </c>
      <c r="N41" s="93">
        <v>27</v>
      </c>
      <c r="O41" s="93">
        <v>29</v>
      </c>
      <c r="P41" s="93">
        <v>31</v>
      </c>
      <c r="Q41" s="11">
        <f>RATE(5,,-K41,P41)</f>
        <v>5.2519353814275166E-2</v>
      </c>
    </row>
    <row r="44" spans="1:17" ht="15.75" x14ac:dyDescent="0.25">
      <c r="A44" s="644" t="s">
        <v>33</v>
      </c>
      <c r="B44" s="644"/>
      <c r="C44" s="644"/>
      <c r="D44" s="644"/>
      <c r="E44" s="644"/>
      <c r="F44" s="644"/>
      <c r="G44" s="644"/>
      <c r="H44" s="644"/>
      <c r="I44" s="644"/>
      <c r="J44" s="644"/>
      <c r="K44" s="644"/>
      <c r="L44" s="644"/>
      <c r="M44" s="644"/>
      <c r="N44" s="644"/>
    </row>
    <row r="45" spans="1:17" ht="16.5" thickBot="1" x14ac:dyDescent="0.3">
      <c r="A45" s="643" t="s">
        <v>13</v>
      </c>
      <c r="B45" s="643"/>
      <c r="C45" s="643"/>
      <c r="D45" s="643"/>
      <c r="E45" s="643"/>
      <c r="F45" s="643"/>
      <c r="G45" s="643"/>
      <c r="H45" s="643"/>
      <c r="I45" s="643"/>
      <c r="J45" s="643"/>
      <c r="K45" s="643"/>
      <c r="L45" s="643"/>
      <c r="M45" s="643"/>
      <c r="N45" s="643"/>
    </row>
    <row r="46" spans="1:17" ht="16.5" thickBot="1" x14ac:dyDescent="0.3">
      <c r="A46" s="52"/>
      <c r="B46" s="650" t="s">
        <v>75</v>
      </c>
      <c r="C46" s="651"/>
      <c r="D46" s="651"/>
      <c r="E46" s="651"/>
      <c r="F46" s="652"/>
      <c r="G46" s="140" t="s">
        <v>73</v>
      </c>
      <c r="H46" s="140"/>
      <c r="I46" s="141"/>
      <c r="J46" s="647" t="s">
        <v>8</v>
      </c>
      <c r="K46" s="645"/>
      <c r="L46" s="645"/>
      <c r="M46" s="645"/>
      <c r="N46" s="645"/>
      <c r="O46" s="646"/>
    </row>
    <row r="47" spans="1:17" ht="36.75" thickBot="1" x14ac:dyDescent="0.25">
      <c r="A47" s="38"/>
      <c r="B47" s="359">
        <v>2008</v>
      </c>
      <c r="C47" s="368">
        <v>2009</v>
      </c>
      <c r="D47" s="368">
        <v>2010</v>
      </c>
      <c r="E47" s="368">
        <v>2011</v>
      </c>
      <c r="F47" s="395">
        <v>2012</v>
      </c>
      <c r="G47" s="148" t="s">
        <v>172</v>
      </c>
      <c r="H47" s="10" t="s">
        <v>76</v>
      </c>
      <c r="I47" s="39" t="s">
        <v>77</v>
      </c>
      <c r="J47" s="88" t="s">
        <v>65</v>
      </c>
      <c r="K47" s="10" t="s">
        <v>66</v>
      </c>
      <c r="L47" s="10" t="s">
        <v>67</v>
      </c>
      <c r="M47" s="10" t="s">
        <v>68</v>
      </c>
      <c r="N47" s="10" t="s">
        <v>69</v>
      </c>
      <c r="O47" s="18" t="s">
        <v>70</v>
      </c>
    </row>
    <row r="48" spans="1:17" ht="13.5" thickBot="1" x14ac:dyDescent="0.25">
      <c r="A48" s="23" t="s">
        <v>2</v>
      </c>
      <c r="B48" s="33">
        <f>B41/B34</f>
        <v>0.84255348374025618</v>
      </c>
      <c r="C48" s="150">
        <f t="shared" ref="C48:E48" si="9">C41/C34</f>
        <v>0.86029887536589134</v>
      </c>
      <c r="D48" s="150">
        <f t="shared" si="9"/>
        <v>0.84615384615384615</v>
      </c>
      <c r="E48" s="150">
        <f t="shared" si="9"/>
        <v>0.86956521739130432</v>
      </c>
      <c r="F48" s="32">
        <f>F41/F34</f>
        <v>0.8571428571428571</v>
      </c>
      <c r="G48" s="30">
        <f>G41/G34</f>
        <v>0.86111111111111116</v>
      </c>
      <c r="H48" s="31">
        <f>H41/H34</f>
        <v>0.86842105263157898</v>
      </c>
      <c r="I48" s="32">
        <f>I41/I34</f>
        <v>0.87179487179487181</v>
      </c>
      <c r="J48" s="33">
        <f t="shared" ref="J48:O48" si="10">K41/K34</f>
        <v>0.8571428571428571</v>
      </c>
      <c r="K48" s="34">
        <f t="shared" si="10"/>
        <v>0.86206896551724133</v>
      </c>
      <c r="L48" s="34">
        <f t="shared" si="10"/>
        <v>0.87096774193548387</v>
      </c>
      <c r="M48" s="34">
        <f t="shared" si="10"/>
        <v>0.87096774193548387</v>
      </c>
      <c r="N48" s="34">
        <f t="shared" si="10"/>
        <v>0.8529411764705882</v>
      </c>
      <c r="O48" s="35">
        <f t="shared" si="10"/>
        <v>0.86111111111111116</v>
      </c>
    </row>
    <row r="51" spans="1:17" ht="15.75" x14ac:dyDescent="0.25">
      <c r="A51" s="644" t="s">
        <v>34</v>
      </c>
      <c r="B51" s="644"/>
      <c r="C51" s="644"/>
      <c r="D51" s="644"/>
      <c r="E51" s="644"/>
      <c r="F51" s="644"/>
      <c r="G51" s="644"/>
      <c r="H51" s="644"/>
      <c r="I51" s="644"/>
      <c r="J51" s="644"/>
      <c r="K51" s="644"/>
      <c r="L51" s="644"/>
      <c r="M51" s="644"/>
      <c r="N51" s="644"/>
      <c r="O51" s="644"/>
      <c r="P51" s="644"/>
    </row>
    <row r="52" spans="1:17" ht="16.5" thickBot="1" x14ac:dyDescent="0.3">
      <c r="A52" s="643" t="s">
        <v>14</v>
      </c>
      <c r="B52" s="656"/>
      <c r="C52" s="657"/>
      <c r="D52" s="657"/>
      <c r="E52" s="657"/>
      <c r="F52" s="657"/>
      <c r="G52" s="657"/>
      <c r="H52" s="657"/>
      <c r="I52" s="657"/>
    </row>
    <row r="53" spans="1:17" ht="16.5" thickBot="1" x14ac:dyDescent="0.3">
      <c r="A53" s="52"/>
      <c r="B53" s="650" t="s">
        <v>75</v>
      </c>
      <c r="C53" s="651"/>
      <c r="D53" s="651"/>
      <c r="E53" s="651"/>
      <c r="F53" s="652"/>
      <c r="G53" s="647" t="s">
        <v>74</v>
      </c>
      <c r="H53" s="645"/>
      <c r="I53" s="645"/>
      <c r="J53" s="646"/>
      <c r="K53" s="647" t="s">
        <v>15</v>
      </c>
      <c r="L53" s="648"/>
      <c r="M53" s="648"/>
      <c r="N53" s="648"/>
      <c r="O53" s="648"/>
      <c r="P53" s="648"/>
      <c r="Q53" s="649"/>
    </row>
    <row r="54" spans="1:17" ht="60.75" thickBot="1" x14ac:dyDescent="0.25">
      <c r="A54" s="441"/>
      <c r="B54" s="359">
        <v>2008</v>
      </c>
      <c r="C54" s="368">
        <v>2009</v>
      </c>
      <c r="D54" s="368">
        <v>2010</v>
      </c>
      <c r="E54" s="368">
        <v>2011</v>
      </c>
      <c r="F54" s="395">
        <v>2012</v>
      </c>
      <c r="G54" s="473" t="s">
        <v>172</v>
      </c>
      <c r="H54" s="360" t="s">
        <v>76</v>
      </c>
      <c r="I54" s="361" t="s">
        <v>77</v>
      </c>
      <c r="J54" s="256" t="s">
        <v>0</v>
      </c>
      <c r="K54" s="359" t="s">
        <v>65</v>
      </c>
      <c r="L54" s="360" t="s">
        <v>66</v>
      </c>
      <c r="M54" s="360" t="s">
        <v>67</v>
      </c>
      <c r="N54" s="360" t="s">
        <v>68</v>
      </c>
      <c r="O54" s="360" t="s">
        <v>69</v>
      </c>
      <c r="P54" s="361" t="s">
        <v>70</v>
      </c>
      <c r="Q54" s="256" t="s">
        <v>71</v>
      </c>
    </row>
    <row r="55" spans="1:17" x14ac:dyDescent="0.2">
      <c r="A55" s="19" t="s">
        <v>4</v>
      </c>
      <c r="B55" s="142">
        <v>25</v>
      </c>
      <c r="C55" s="144">
        <v>28</v>
      </c>
      <c r="D55" s="432">
        <v>21</v>
      </c>
      <c r="E55" s="346">
        <v>17</v>
      </c>
      <c r="F55" s="471">
        <v>20</v>
      </c>
      <c r="G55" s="200">
        <v>9</v>
      </c>
      <c r="H55" s="144">
        <v>11</v>
      </c>
      <c r="I55" s="196">
        <v>11</v>
      </c>
      <c r="J55" s="456">
        <f>(POWER(I55/C55,1/4))-1</f>
        <v>-0.20830361215424964</v>
      </c>
      <c r="K55" s="92">
        <v>24</v>
      </c>
      <c r="L55" s="138">
        <v>25</v>
      </c>
      <c r="M55" s="138">
        <v>26</v>
      </c>
      <c r="N55" s="138">
        <v>27</v>
      </c>
      <c r="O55" s="138">
        <v>28</v>
      </c>
      <c r="P55" s="342">
        <v>33</v>
      </c>
      <c r="Q55" s="447">
        <f t="shared" ref="Q55:Q58" si="11">RATE(5,,-K55,P55)</f>
        <v>6.5762756635474498E-2</v>
      </c>
    </row>
    <row r="56" spans="1:17" x14ac:dyDescent="0.2">
      <c r="A56" s="442" t="s">
        <v>203</v>
      </c>
      <c r="B56" s="439">
        <v>0</v>
      </c>
      <c r="C56" s="437">
        <v>0</v>
      </c>
      <c r="D56" s="438">
        <v>0</v>
      </c>
      <c r="E56" s="145">
        <v>0</v>
      </c>
      <c r="F56" s="197">
        <v>0</v>
      </c>
      <c r="G56" s="451">
        <v>0</v>
      </c>
      <c r="H56" s="450">
        <v>0</v>
      </c>
      <c r="I56" s="452">
        <v>0</v>
      </c>
      <c r="J56" s="457">
        <v>0</v>
      </c>
      <c r="K56" s="461">
        <v>0</v>
      </c>
      <c r="L56" s="460">
        <v>2</v>
      </c>
      <c r="M56" s="460">
        <v>2</v>
      </c>
      <c r="N56" s="460">
        <v>2</v>
      </c>
      <c r="O56" s="460">
        <v>2</v>
      </c>
      <c r="P56" s="462">
        <v>3</v>
      </c>
      <c r="Q56" s="564">
        <v>0</v>
      </c>
    </row>
    <row r="57" spans="1:17" ht="13.5" thickBot="1" x14ac:dyDescent="0.25">
      <c r="A57" s="443" t="s">
        <v>5</v>
      </c>
      <c r="B57" s="440">
        <v>0</v>
      </c>
      <c r="C57" s="411">
        <v>0</v>
      </c>
      <c r="D57" s="243">
        <v>1</v>
      </c>
      <c r="E57" s="433">
        <v>2.8330000000000002</v>
      </c>
      <c r="F57" s="472">
        <v>1</v>
      </c>
      <c r="G57" s="474">
        <v>1</v>
      </c>
      <c r="H57" s="202">
        <v>1</v>
      </c>
      <c r="I57" s="203">
        <v>1</v>
      </c>
      <c r="J57" s="458">
        <v>0</v>
      </c>
      <c r="K57" s="364">
        <v>1</v>
      </c>
      <c r="L57" s="343">
        <v>0</v>
      </c>
      <c r="M57" s="343">
        <v>0</v>
      </c>
      <c r="N57" s="343">
        <v>0</v>
      </c>
      <c r="O57" s="343">
        <v>0</v>
      </c>
      <c r="P57" s="344">
        <v>0</v>
      </c>
      <c r="Q57" s="449">
        <f t="shared" si="11"/>
        <v>-0.99999940914518248</v>
      </c>
    </row>
    <row r="58" spans="1:17" ht="13.5" thickBot="1" x14ac:dyDescent="0.25">
      <c r="A58" s="205" t="s">
        <v>2</v>
      </c>
      <c r="B58" s="26">
        <v>24.535999999999998</v>
      </c>
      <c r="C58" s="14">
        <v>27.921000000000003</v>
      </c>
      <c r="D58" s="14">
        <v>22</v>
      </c>
      <c r="E58" s="14">
        <v>20</v>
      </c>
      <c r="F58" s="16">
        <v>21</v>
      </c>
      <c r="G58" s="338">
        <f>G55+G57</f>
        <v>10</v>
      </c>
      <c r="H58" s="338">
        <f>H55+H57</f>
        <v>12</v>
      </c>
      <c r="I58" s="339">
        <f>I55+I57</f>
        <v>12</v>
      </c>
      <c r="J58" s="11">
        <f>(POWER(I58/C58,1/4))-1</f>
        <v>-0.19032157071244005</v>
      </c>
      <c r="K58" s="475">
        <f t="shared" ref="K58:P58" si="12">K55+K57</f>
        <v>25</v>
      </c>
      <c r="L58" s="338">
        <f t="shared" si="12"/>
        <v>25</v>
      </c>
      <c r="M58" s="338">
        <f t="shared" si="12"/>
        <v>26</v>
      </c>
      <c r="N58" s="338">
        <f t="shared" si="12"/>
        <v>27</v>
      </c>
      <c r="O58" s="338">
        <f t="shared" si="12"/>
        <v>28</v>
      </c>
      <c r="P58" s="339">
        <f t="shared" si="12"/>
        <v>33</v>
      </c>
      <c r="Q58" s="208">
        <f t="shared" si="11"/>
        <v>5.7096868374618387E-2</v>
      </c>
    </row>
    <row r="61" spans="1:17" ht="15.75" x14ac:dyDescent="0.25">
      <c r="A61" s="644" t="s">
        <v>175</v>
      </c>
      <c r="B61" s="644"/>
      <c r="C61" s="644"/>
      <c r="D61" s="644"/>
      <c r="E61" s="644"/>
      <c r="F61" s="644"/>
      <c r="G61" s="644"/>
      <c r="H61" s="644"/>
      <c r="I61" s="644"/>
      <c r="J61" s="644"/>
      <c r="K61" s="644"/>
      <c r="L61" s="644"/>
      <c r="M61" s="644"/>
      <c r="N61" s="644"/>
    </row>
    <row r="62" spans="1:17" ht="16.5" thickBot="1" x14ac:dyDescent="0.3">
      <c r="A62" s="643" t="s">
        <v>7</v>
      </c>
      <c r="B62" s="643"/>
      <c r="C62" s="643"/>
      <c r="D62" s="643"/>
      <c r="E62" s="643"/>
      <c r="F62" s="643"/>
      <c r="G62" s="643"/>
      <c r="H62" s="643"/>
      <c r="I62" s="643"/>
      <c r="J62" s="643"/>
      <c r="K62" s="643"/>
      <c r="L62" s="643"/>
      <c r="M62" s="643"/>
      <c r="N62" s="643"/>
      <c r="O62" s="43"/>
      <c r="P62" s="43"/>
    </row>
    <row r="63" spans="1:17" ht="16.5" thickBot="1" x14ac:dyDescent="0.3">
      <c r="A63" s="52"/>
      <c r="B63" s="650" t="s">
        <v>75</v>
      </c>
      <c r="C63" s="651"/>
      <c r="D63" s="651"/>
      <c r="E63" s="651"/>
      <c r="F63" s="652"/>
      <c r="G63" s="647" t="s">
        <v>73</v>
      </c>
      <c r="H63" s="645"/>
      <c r="I63" s="646"/>
      <c r="J63" s="647" t="s">
        <v>8</v>
      </c>
      <c r="K63" s="645"/>
      <c r="L63" s="645"/>
      <c r="M63" s="645"/>
      <c r="N63" s="645"/>
      <c r="O63" s="646"/>
    </row>
    <row r="64" spans="1:17" ht="36.75" thickBot="1" x14ac:dyDescent="0.25">
      <c r="A64" s="38"/>
      <c r="B64" s="359">
        <v>2008</v>
      </c>
      <c r="C64" s="368">
        <v>2009</v>
      </c>
      <c r="D64" s="368">
        <v>2010</v>
      </c>
      <c r="E64" s="368">
        <v>2011</v>
      </c>
      <c r="F64" s="395">
        <v>2012</v>
      </c>
      <c r="G64" s="473" t="s">
        <v>172</v>
      </c>
      <c r="H64" s="360" t="s">
        <v>76</v>
      </c>
      <c r="I64" s="361" t="s">
        <v>77</v>
      </c>
      <c r="J64" s="359" t="s">
        <v>65</v>
      </c>
      <c r="K64" s="360" t="s">
        <v>66</v>
      </c>
      <c r="L64" s="360" t="s">
        <v>67</v>
      </c>
      <c r="M64" s="360" t="s">
        <v>68</v>
      </c>
      <c r="N64" s="360" t="s">
        <v>69</v>
      </c>
      <c r="O64" s="369" t="s">
        <v>70</v>
      </c>
    </row>
    <row r="65" spans="1:16" ht="24" x14ac:dyDescent="0.2">
      <c r="A65" s="422" t="s">
        <v>4</v>
      </c>
      <c r="B65" s="97">
        <f t="shared" ref="B65:I65" si="13">B55/B15</f>
        <v>0.41322314049586778</v>
      </c>
      <c r="C65" s="149">
        <f t="shared" si="13"/>
        <v>0.41635687732342008</v>
      </c>
      <c r="D65" s="373">
        <f t="shared" si="13"/>
        <v>0.41176470588235292</v>
      </c>
      <c r="E65" s="58">
        <f t="shared" si="13"/>
        <v>0.39080459770114945</v>
      </c>
      <c r="F65" s="56">
        <f t="shared" si="13"/>
        <v>0.41237113402061853</v>
      </c>
      <c r="G65" s="97">
        <f t="shared" si="13"/>
        <v>0.12328767123287671</v>
      </c>
      <c r="H65" s="149">
        <f t="shared" si="13"/>
        <v>0.14473684210526316</v>
      </c>
      <c r="I65" s="58">
        <f t="shared" si="13"/>
        <v>0.13924050632911392</v>
      </c>
      <c r="J65" s="97">
        <f t="shared" ref="J65:O66" si="14">K55/K15</f>
        <v>0.46153846153846156</v>
      </c>
      <c r="K65" s="149">
        <f t="shared" si="14"/>
        <v>0.46296296296296297</v>
      </c>
      <c r="L65" s="149">
        <f t="shared" si="14"/>
        <v>0.4642857142857143</v>
      </c>
      <c r="M65" s="149">
        <f t="shared" si="14"/>
        <v>0.46551724137931033</v>
      </c>
      <c r="N65" s="149">
        <f t="shared" si="14"/>
        <v>0.45901639344262296</v>
      </c>
      <c r="O65" s="57">
        <f t="shared" si="14"/>
        <v>0.50769230769230766</v>
      </c>
    </row>
    <row r="66" spans="1:16" x14ac:dyDescent="0.2">
      <c r="A66" s="551" t="s">
        <v>203</v>
      </c>
      <c r="B66" s="374">
        <v>0</v>
      </c>
      <c r="C66" s="371">
        <v>0</v>
      </c>
      <c r="D66" s="372">
        <v>0</v>
      </c>
      <c r="E66" s="380">
        <v>0</v>
      </c>
      <c r="F66" s="382">
        <v>0</v>
      </c>
      <c r="G66" s="374">
        <v>0</v>
      </c>
      <c r="H66" s="371">
        <v>0</v>
      </c>
      <c r="I66" s="380">
        <v>0</v>
      </c>
      <c r="J66" s="374">
        <v>0</v>
      </c>
      <c r="K66" s="371">
        <f>L56/L16</f>
        <v>0.66666666666666663</v>
      </c>
      <c r="L66" s="371">
        <f t="shared" si="14"/>
        <v>0.5</v>
      </c>
      <c r="M66" s="371">
        <f t="shared" si="14"/>
        <v>0.5</v>
      </c>
      <c r="N66" s="371">
        <f t="shared" si="14"/>
        <v>0.4</v>
      </c>
      <c r="O66" s="375">
        <v>0</v>
      </c>
    </row>
    <row r="67" spans="1:16" ht="13.5" thickBot="1" x14ac:dyDescent="0.25">
      <c r="A67" s="54" t="s">
        <v>5</v>
      </c>
      <c r="B67" s="376">
        <v>0</v>
      </c>
      <c r="C67" s="377">
        <v>0</v>
      </c>
      <c r="D67" s="378">
        <f t="shared" ref="D67:F68" si="15">D57/D17</f>
        <v>0.75018754688672173</v>
      </c>
      <c r="E67" s="381">
        <f t="shared" si="15"/>
        <v>1.0967866821525358</v>
      </c>
      <c r="F67" s="383">
        <f t="shared" si="15"/>
        <v>0.85689802913453295</v>
      </c>
      <c r="G67" s="376">
        <f t="shared" ref="G67:I68" si="16">G57/G17</f>
        <v>0.5</v>
      </c>
      <c r="H67" s="377">
        <f t="shared" si="16"/>
        <v>0.5</v>
      </c>
      <c r="I67" s="381">
        <f t="shared" si="16"/>
        <v>0.5</v>
      </c>
      <c r="J67" s="376">
        <f t="shared" ref="J67:O68" si="17">K57/K17</f>
        <v>0.33333333333333331</v>
      </c>
      <c r="K67" s="377">
        <v>0</v>
      </c>
      <c r="L67" s="377">
        <v>0</v>
      </c>
      <c r="M67" s="377">
        <v>0</v>
      </c>
      <c r="N67" s="377">
        <v>0</v>
      </c>
      <c r="O67" s="379">
        <v>0</v>
      </c>
    </row>
    <row r="68" spans="1:16" ht="13.5" thickBot="1" x14ac:dyDescent="0.25">
      <c r="A68" s="23" t="s">
        <v>2</v>
      </c>
      <c r="B68" s="217">
        <f>B58/B18</f>
        <v>0.40555371900826442</v>
      </c>
      <c r="C68" s="220">
        <f>C58/C18</f>
        <v>0.41518215613382903</v>
      </c>
      <c r="D68" s="552">
        <f t="shared" si="15"/>
        <v>0.42038484321556191</v>
      </c>
      <c r="E68" s="220">
        <f t="shared" si="15"/>
        <v>0.43399952260052516</v>
      </c>
      <c r="F68" s="553">
        <f t="shared" si="15"/>
        <v>0.42281595425534058</v>
      </c>
      <c r="G68" s="219">
        <f t="shared" si="16"/>
        <v>0.13333333333333333</v>
      </c>
      <c r="H68" s="554">
        <f t="shared" si="16"/>
        <v>0.15384615384615385</v>
      </c>
      <c r="I68" s="220">
        <f t="shared" si="16"/>
        <v>0.14814814814814814</v>
      </c>
      <c r="J68" s="221">
        <f t="shared" si="17"/>
        <v>0.45454545454545453</v>
      </c>
      <c r="K68" s="222">
        <f t="shared" si="17"/>
        <v>0.46296296296296297</v>
      </c>
      <c r="L68" s="222">
        <f t="shared" si="17"/>
        <v>0.4642857142857143</v>
      </c>
      <c r="M68" s="222">
        <f t="shared" si="17"/>
        <v>0.46551724137931033</v>
      </c>
      <c r="N68" s="222">
        <f t="shared" si="17"/>
        <v>0.45901639344262296</v>
      </c>
      <c r="O68" s="223">
        <f t="shared" si="17"/>
        <v>0.50769230769230766</v>
      </c>
    </row>
    <row r="71" spans="1:16" ht="15.75" x14ac:dyDescent="0.25">
      <c r="A71" s="644" t="s">
        <v>200</v>
      </c>
      <c r="B71" s="644"/>
      <c r="C71" s="644"/>
      <c r="D71" s="644"/>
      <c r="E71" s="644"/>
      <c r="F71" s="644"/>
      <c r="G71" s="644"/>
      <c r="H71" s="644"/>
      <c r="I71" s="644"/>
      <c r="J71" s="644"/>
      <c r="K71" s="644"/>
      <c r="L71" s="644"/>
      <c r="M71" s="644"/>
      <c r="N71" s="644"/>
      <c r="O71" s="644"/>
      <c r="P71" s="644"/>
    </row>
    <row r="72" spans="1:16" ht="16.5" thickBot="1" x14ac:dyDescent="0.3">
      <c r="A72" s="643" t="s">
        <v>184</v>
      </c>
      <c r="B72" s="643"/>
      <c r="C72" s="643"/>
      <c r="D72" s="643"/>
      <c r="E72" s="643"/>
      <c r="F72" s="643"/>
      <c r="G72" s="643"/>
      <c r="H72" s="643"/>
      <c r="I72" s="643"/>
      <c r="J72" s="643"/>
      <c r="K72" s="643"/>
      <c r="L72" s="643"/>
      <c r="M72" s="643"/>
      <c r="N72" s="643"/>
      <c r="O72" s="637"/>
      <c r="P72" s="637"/>
    </row>
    <row r="73" spans="1:16" ht="16.5" thickBot="1" x14ac:dyDescent="0.3">
      <c r="A73" s="103"/>
      <c r="B73" s="647" t="s">
        <v>75</v>
      </c>
      <c r="C73" s="645"/>
      <c r="D73" s="645"/>
      <c r="E73" s="646"/>
      <c r="F73" s="647" t="s">
        <v>183</v>
      </c>
      <c r="G73" s="645"/>
      <c r="H73" s="645"/>
      <c r="I73" s="646"/>
      <c r="J73" s="647" t="s">
        <v>3</v>
      </c>
      <c r="K73" s="648"/>
      <c r="L73" s="648"/>
      <c r="M73" s="648"/>
      <c r="N73" s="648"/>
      <c r="O73" s="648"/>
      <c r="P73" s="649"/>
    </row>
    <row r="74" spans="1:16" ht="60.75" thickBot="1" x14ac:dyDescent="0.25">
      <c r="A74" s="51"/>
      <c r="B74" s="88">
        <v>2010</v>
      </c>
      <c r="C74" s="7">
        <v>2011</v>
      </c>
      <c r="D74" s="10">
        <v>2012</v>
      </c>
      <c r="E74" s="9" t="s">
        <v>180</v>
      </c>
      <c r="F74" s="148" t="s">
        <v>172</v>
      </c>
      <c r="G74" s="10" t="s">
        <v>76</v>
      </c>
      <c r="H74" s="39" t="s">
        <v>77</v>
      </c>
      <c r="I74" s="9" t="s">
        <v>181</v>
      </c>
      <c r="J74" s="88" t="s">
        <v>65</v>
      </c>
      <c r="K74" s="10" t="s">
        <v>66</v>
      </c>
      <c r="L74" s="10" t="s">
        <v>67</v>
      </c>
      <c r="M74" s="10" t="s">
        <v>68</v>
      </c>
      <c r="N74" s="10" t="s">
        <v>69</v>
      </c>
      <c r="O74" s="39" t="s">
        <v>70</v>
      </c>
      <c r="P74" s="9" t="s">
        <v>71</v>
      </c>
    </row>
    <row r="75" spans="1:16" ht="13.5" thickBot="1" x14ac:dyDescent="0.25">
      <c r="A75" s="106" t="s">
        <v>141</v>
      </c>
      <c r="B75" s="191">
        <v>24</v>
      </c>
      <c r="C75" s="192">
        <v>28</v>
      </c>
      <c r="D75" s="111">
        <v>21</v>
      </c>
      <c r="E75" s="121">
        <v>0</v>
      </c>
      <c r="F75" s="192">
        <v>20</v>
      </c>
      <c r="G75" s="109">
        <v>22</v>
      </c>
      <c r="H75" s="110">
        <v>22</v>
      </c>
      <c r="I75" s="121">
        <f t="shared" ref="I75:I76" si="18">RATE(1,,-F75,H75)</f>
        <v>0.1</v>
      </c>
      <c r="J75" s="111">
        <v>25</v>
      </c>
      <c r="K75" s="111">
        <v>27</v>
      </c>
      <c r="L75" s="111">
        <v>28</v>
      </c>
      <c r="M75" s="111">
        <v>29</v>
      </c>
      <c r="N75" s="111">
        <v>30</v>
      </c>
      <c r="O75" s="189">
        <v>36</v>
      </c>
      <c r="P75" s="108">
        <f t="shared" ref="P75:P76" si="19">RATE(5,,-J75,O75)</f>
        <v>7.5653756932570176E-2</v>
      </c>
    </row>
    <row r="76" spans="1:16" ht="24.75" thickBot="1" x14ac:dyDescent="0.25">
      <c r="A76" s="120" t="s">
        <v>191</v>
      </c>
      <c r="B76" s="185">
        <f t="shared" ref="B76:C76" si="20">SUM(B75:B75)</f>
        <v>24</v>
      </c>
      <c r="C76" s="193">
        <f t="shared" si="20"/>
        <v>28</v>
      </c>
      <c r="D76" s="178">
        <v>21</v>
      </c>
      <c r="E76" s="11">
        <v>0</v>
      </c>
      <c r="F76" s="193">
        <f t="shared" ref="F76:H76" si="21">SUM(F75:F75)</f>
        <v>20</v>
      </c>
      <c r="G76" s="178">
        <f t="shared" si="21"/>
        <v>22</v>
      </c>
      <c r="H76" s="178">
        <f t="shared" si="21"/>
        <v>22</v>
      </c>
      <c r="I76" s="11">
        <f t="shared" si="18"/>
        <v>0.1</v>
      </c>
      <c r="J76" s="178">
        <f t="shared" ref="J76:O76" si="22">SUM(J75:J75)</f>
        <v>25</v>
      </c>
      <c r="K76" s="178">
        <f t="shared" si="22"/>
        <v>27</v>
      </c>
      <c r="L76" s="178">
        <f t="shared" si="22"/>
        <v>28</v>
      </c>
      <c r="M76" s="178">
        <f t="shared" si="22"/>
        <v>29</v>
      </c>
      <c r="N76" s="178">
        <f t="shared" si="22"/>
        <v>30</v>
      </c>
      <c r="O76" s="190">
        <f t="shared" si="22"/>
        <v>36</v>
      </c>
      <c r="P76" s="11">
        <f t="shared" si="19"/>
        <v>7.5653756932570176E-2</v>
      </c>
    </row>
  </sheetData>
  <mergeCells count="38">
    <mergeCell ref="A3:J3"/>
    <mergeCell ref="A52:I52"/>
    <mergeCell ref="J23:P23"/>
    <mergeCell ref="F23:I23"/>
    <mergeCell ref="B23:E23"/>
    <mergeCell ref="K12:Q12"/>
    <mergeCell ref="G12:J12"/>
    <mergeCell ref="B46:F46"/>
    <mergeCell ref="B39:F39"/>
    <mergeCell ref="B32:F32"/>
    <mergeCell ref="B12:F12"/>
    <mergeCell ref="A10:P10"/>
    <mergeCell ref="A11:P11"/>
    <mergeCell ref="A21:P21"/>
    <mergeCell ref="A22:P22"/>
    <mergeCell ref="A30:P30"/>
    <mergeCell ref="J63:O63"/>
    <mergeCell ref="K32:Q32"/>
    <mergeCell ref="K39:Q39"/>
    <mergeCell ref="J46:O46"/>
    <mergeCell ref="K53:Q53"/>
    <mergeCell ref="A62:N62"/>
    <mergeCell ref="B63:F63"/>
    <mergeCell ref="B53:F53"/>
    <mergeCell ref="G63:I63"/>
    <mergeCell ref="G53:J53"/>
    <mergeCell ref="A51:P51"/>
    <mergeCell ref="A61:N61"/>
    <mergeCell ref="A31:P31"/>
    <mergeCell ref="A37:P37"/>
    <mergeCell ref="A38:P38"/>
    <mergeCell ref="A44:N44"/>
    <mergeCell ref="A45:N45"/>
    <mergeCell ref="A71:P71"/>
    <mergeCell ref="A72:P72"/>
    <mergeCell ref="B73:E73"/>
    <mergeCell ref="F73:I73"/>
    <mergeCell ref="J73:P73"/>
  </mergeCells>
  <pageMargins left="0.70866141732283472" right="0.70866141732283472" top="0.74803149606299213" bottom="0.74803149606299213" header="0.31496062992125984" footer="0.31496062992125984"/>
  <pageSetup scale="84" orientation="landscape" r:id="rId1"/>
  <rowBreaks count="1" manualBreakCount="1">
    <brk id="4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"/>
  <sheetViews>
    <sheetView workbookViewId="0">
      <selection activeCell="E75" sqref="E75"/>
    </sheetView>
  </sheetViews>
  <sheetFormatPr defaultRowHeight="12.75" x14ac:dyDescent="0.2"/>
  <cols>
    <col min="1" max="1" width="27.5703125" customWidth="1"/>
    <col min="9" max="9" width="9.7109375" customWidth="1"/>
    <col min="10" max="15" width="9.42578125" customWidth="1"/>
  </cols>
  <sheetData>
    <row r="1" spans="1:16" s="68" customFormat="1" ht="23.25" x14ac:dyDescent="0.35">
      <c r="A1" s="66" t="s">
        <v>72</v>
      </c>
      <c r="B1" s="67"/>
      <c r="C1" s="67"/>
      <c r="D1" s="67"/>
      <c r="E1" s="67"/>
      <c r="F1" s="67"/>
    </row>
    <row r="2" spans="1:16" s="81" customFormat="1" ht="18.75" thickBot="1" x14ac:dyDescent="0.3">
      <c r="A2" s="78"/>
      <c r="B2" s="79"/>
      <c r="C2" s="80"/>
      <c r="D2" s="79"/>
      <c r="E2" s="79"/>
      <c r="F2" s="79"/>
    </row>
    <row r="3" spans="1:16" s="74" customFormat="1" ht="24" thickBot="1" x14ac:dyDescent="0.4">
      <c r="A3" s="45" t="s">
        <v>177</v>
      </c>
      <c r="B3" s="69"/>
      <c r="C3" s="69"/>
      <c r="D3" s="70"/>
      <c r="E3" s="71"/>
      <c r="F3" s="71"/>
      <c r="G3" s="72"/>
      <c r="H3" s="72"/>
      <c r="I3" s="72"/>
      <c r="J3" s="72"/>
      <c r="K3" s="72"/>
      <c r="L3" s="73"/>
    </row>
    <row r="6" spans="1:16" ht="18" x14ac:dyDescent="0.25">
      <c r="A6" s="6" t="s">
        <v>54</v>
      </c>
    </row>
    <row r="7" spans="1:16" x14ac:dyDescent="0.2">
      <c r="A7" t="s">
        <v>36</v>
      </c>
    </row>
    <row r="10" spans="1:16" ht="15.75" x14ac:dyDescent="0.25">
      <c r="A10" s="644" t="s">
        <v>37</v>
      </c>
      <c r="B10" s="644"/>
      <c r="C10" s="644"/>
      <c r="D10" s="644"/>
      <c r="E10" s="644"/>
      <c r="F10" s="644"/>
      <c r="G10" s="644"/>
      <c r="H10" s="644"/>
      <c r="I10" s="644"/>
      <c r="J10" s="644"/>
      <c r="K10" s="644"/>
      <c r="L10" s="644"/>
      <c r="M10" s="644"/>
      <c r="N10" s="644"/>
      <c r="O10" s="644"/>
      <c r="P10" s="644"/>
    </row>
    <row r="11" spans="1:16" ht="16.5" thickBot="1" x14ac:dyDescent="0.3">
      <c r="A11" s="643" t="s">
        <v>16</v>
      </c>
      <c r="B11" s="643"/>
      <c r="C11" s="643"/>
      <c r="D11" s="643"/>
      <c r="E11" s="643"/>
      <c r="F11" s="643"/>
      <c r="G11" s="643"/>
      <c r="H11" s="643"/>
      <c r="I11" s="643"/>
      <c r="J11" s="643"/>
      <c r="K11" s="643"/>
      <c r="L11" s="643"/>
      <c r="M11" s="643"/>
      <c r="N11" s="643"/>
      <c r="O11" s="643"/>
      <c r="P11" s="643"/>
    </row>
    <row r="12" spans="1:16" ht="16.5" thickBot="1" x14ac:dyDescent="0.3">
      <c r="A12" s="52"/>
      <c r="B12" s="647" t="s">
        <v>75</v>
      </c>
      <c r="C12" s="645"/>
      <c r="D12" s="645"/>
      <c r="E12" s="646"/>
      <c r="F12" s="311" t="s">
        <v>171</v>
      </c>
      <c r="G12" s="140"/>
      <c r="H12" s="140"/>
      <c r="I12" s="141"/>
      <c r="J12" s="647" t="s">
        <v>3</v>
      </c>
      <c r="K12" s="648"/>
      <c r="L12" s="648"/>
      <c r="M12" s="648"/>
      <c r="N12" s="648"/>
      <c r="O12" s="648"/>
      <c r="P12" s="649"/>
    </row>
    <row r="13" spans="1:16" ht="60.75" thickBot="1" x14ac:dyDescent="0.25">
      <c r="A13" s="51"/>
      <c r="B13" s="101">
        <v>2008</v>
      </c>
      <c r="C13" s="7">
        <v>2009</v>
      </c>
      <c r="D13" s="10">
        <v>2010</v>
      </c>
      <c r="E13" s="18">
        <v>2011</v>
      </c>
      <c r="F13" s="148" t="s">
        <v>172</v>
      </c>
      <c r="G13" s="10" t="s">
        <v>76</v>
      </c>
      <c r="H13" s="39" t="s">
        <v>77</v>
      </c>
      <c r="I13" s="9" t="s">
        <v>0</v>
      </c>
      <c r="J13" s="88" t="s">
        <v>145</v>
      </c>
      <c r="K13" s="10" t="s">
        <v>135</v>
      </c>
      <c r="L13" s="10" t="s">
        <v>136</v>
      </c>
      <c r="M13" s="10" t="s">
        <v>137</v>
      </c>
      <c r="N13" s="10" t="s">
        <v>138</v>
      </c>
      <c r="O13" s="39" t="s">
        <v>139</v>
      </c>
      <c r="P13" s="9" t="s">
        <v>71</v>
      </c>
    </row>
    <row r="14" spans="1:16" s="65" customFormat="1" ht="13.5" thickBot="1" x14ac:dyDescent="0.25">
      <c r="A14" s="162" t="s">
        <v>1</v>
      </c>
      <c r="B14" s="161">
        <v>0</v>
      </c>
      <c r="C14" s="160">
        <v>0</v>
      </c>
      <c r="D14" s="158">
        <v>0</v>
      </c>
      <c r="E14" s="163">
        <v>0</v>
      </c>
      <c r="F14" s="63">
        <v>0</v>
      </c>
      <c r="G14" s="63">
        <v>0</v>
      </c>
      <c r="H14" s="64">
        <v>0</v>
      </c>
      <c r="I14" s="41">
        <v>0</v>
      </c>
      <c r="J14" s="133">
        <v>0</v>
      </c>
      <c r="K14" s="134">
        <v>0</v>
      </c>
      <c r="L14" s="134">
        <v>0</v>
      </c>
      <c r="M14" s="134">
        <v>0</v>
      </c>
      <c r="N14" s="134">
        <v>0</v>
      </c>
      <c r="O14" s="132">
        <v>0</v>
      </c>
      <c r="P14" s="11">
        <v>0</v>
      </c>
    </row>
    <row r="15" spans="1:16" ht="13.5" thickBot="1" x14ac:dyDescent="0.25">
      <c r="A15" s="19" t="s">
        <v>4</v>
      </c>
      <c r="B15" s="146">
        <v>0</v>
      </c>
      <c r="C15" s="144">
        <v>0</v>
      </c>
      <c r="D15" s="142">
        <v>0</v>
      </c>
      <c r="E15" s="153">
        <v>0</v>
      </c>
      <c r="F15" s="27">
        <v>0</v>
      </c>
      <c r="G15" s="27">
        <v>0</v>
      </c>
      <c r="H15" s="20">
        <v>0</v>
      </c>
      <c r="I15" s="129">
        <v>0</v>
      </c>
      <c r="J15" s="92">
        <v>0</v>
      </c>
      <c r="K15" s="90">
        <v>0</v>
      </c>
      <c r="L15" s="90">
        <v>0</v>
      </c>
      <c r="M15" s="90">
        <v>0</v>
      </c>
      <c r="N15" s="90">
        <v>0</v>
      </c>
      <c r="O15" s="91">
        <v>0</v>
      </c>
      <c r="P15" s="12">
        <v>0</v>
      </c>
    </row>
    <row r="16" spans="1:16" x14ac:dyDescent="0.2">
      <c r="A16" s="366" t="s">
        <v>203</v>
      </c>
      <c r="B16" s="146">
        <v>0</v>
      </c>
      <c r="C16" s="144">
        <v>0</v>
      </c>
      <c r="D16" s="142">
        <v>0</v>
      </c>
      <c r="E16" s="153">
        <v>0</v>
      </c>
      <c r="F16" s="27">
        <v>0</v>
      </c>
      <c r="G16" s="27">
        <v>0</v>
      </c>
      <c r="H16" s="20">
        <v>0</v>
      </c>
      <c r="I16" s="129">
        <v>0</v>
      </c>
      <c r="J16" s="92">
        <v>0</v>
      </c>
      <c r="K16" s="90">
        <v>0</v>
      </c>
      <c r="L16" s="90">
        <v>0</v>
      </c>
      <c r="M16" s="90">
        <v>0</v>
      </c>
      <c r="N16" s="90">
        <v>0</v>
      </c>
      <c r="O16" s="91">
        <v>0</v>
      </c>
      <c r="P16" s="12">
        <v>0</v>
      </c>
    </row>
    <row r="17" spans="1:18" ht="13.5" thickBot="1" x14ac:dyDescent="0.25">
      <c r="A17" s="21" t="s">
        <v>5</v>
      </c>
      <c r="B17" s="147">
        <v>0</v>
      </c>
      <c r="C17" s="145">
        <v>0</v>
      </c>
      <c r="D17" s="159">
        <v>0</v>
      </c>
      <c r="E17" s="154">
        <v>0</v>
      </c>
      <c r="F17" s="22">
        <v>0</v>
      </c>
      <c r="G17" s="22">
        <v>0</v>
      </c>
      <c r="H17" s="28">
        <v>0</v>
      </c>
      <c r="I17" s="130">
        <v>0</v>
      </c>
      <c r="J17" s="124">
        <v>0</v>
      </c>
      <c r="K17" s="89">
        <v>0</v>
      </c>
      <c r="L17" s="89">
        <v>0</v>
      </c>
      <c r="M17" s="89">
        <v>0</v>
      </c>
      <c r="N17" s="89">
        <v>0</v>
      </c>
      <c r="O17" s="232">
        <v>0</v>
      </c>
      <c r="P17" s="13">
        <v>0</v>
      </c>
    </row>
    <row r="18" spans="1:18" ht="13.5" thickBot="1" x14ac:dyDescent="0.25">
      <c r="A18" s="23" t="s">
        <v>2</v>
      </c>
      <c r="B18" s="24">
        <f t="shared" ref="B18:C18" si="0">B15+B17</f>
        <v>0</v>
      </c>
      <c r="C18" s="14">
        <f t="shared" si="0"/>
        <v>0</v>
      </c>
      <c r="D18" s="25">
        <f>D15+D17</f>
        <v>0</v>
      </c>
      <c r="E18" s="84">
        <f>E15+E17</f>
        <v>0</v>
      </c>
      <c r="F18" s="26">
        <f>F15+F17</f>
        <v>0</v>
      </c>
      <c r="G18" s="25">
        <f>G15+G17</f>
        <v>0</v>
      </c>
      <c r="H18" s="15">
        <f>H15+H17</f>
        <v>0</v>
      </c>
      <c r="I18" s="131">
        <v>0</v>
      </c>
      <c r="J18" s="26">
        <f t="shared" ref="J18:O18" si="1">J15+J17</f>
        <v>0</v>
      </c>
      <c r="K18" s="25">
        <f t="shared" si="1"/>
        <v>0</v>
      </c>
      <c r="L18" s="25">
        <f t="shared" si="1"/>
        <v>0</v>
      </c>
      <c r="M18" s="25">
        <f t="shared" si="1"/>
        <v>0</v>
      </c>
      <c r="N18" s="25">
        <f t="shared" si="1"/>
        <v>0</v>
      </c>
      <c r="O18" s="25">
        <f t="shared" si="1"/>
        <v>0</v>
      </c>
      <c r="P18" s="11">
        <v>0</v>
      </c>
    </row>
    <row r="21" spans="1:18" ht="15.75" x14ac:dyDescent="0.25">
      <c r="A21" s="644" t="s">
        <v>25</v>
      </c>
      <c r="B21" s="644"/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</row>
    <row r="22" spans="1:18" ht="16.5" thickBot="1" x14ac:dyDescent="0.3">
      <c r="A22" s="643" t="s">
        <v>16</v>
      </c>
      <c r="B22" s="643"/>
      <c r="C22" s="643"/>
      <c r="D22" s="643"/>
      <c r="E22" s="643"/>
      <c r="F22" s="643"/>
      <c r="G22" s="643"/>
      <c r="H22" s="643"/>
      <c r="I22" s="643"/>
      <c r="J22" s="643"/>
      <c r="K22" s="643"/>
      <c r="L22" s="643"/>
      <c r="M22" s="643"/>
      <c r="N22" s="643"/>
      <c r="O22" s="637"/>
      <c r="P22" s="637"/>
    </row>
    <row r="23" spans="1:18" ht="30" customHeight="1" thickBot="1" x14ac:dyDescent="0.3">
      <c r="A23" s="103"/>
      <c r="B23" s="647" t="s">
        <v>178</v>
      </c>
      <c r="C23" s="645"/>
      <c r="D23" s="645"/>
      <c r="E23" s="646"/>
      <c r="F23" s="647" t="s">
        <v>171</v>
      </c>
      <c r="G23" s="645"/>
      <c r="H23" s="645"/>
      <c r="I23" s="646"/>
      <c r="J23" s="647" t="s">
        <v>3</v>
      </c>
      <c r="K23" s="648"/>
      <c r="L23" s="648"/>
      <c r="M23" s="648"/>
      <c r="N23" s="648"/>
      <c r="O23" s="648"/>
      <c r="P23" s="649"/>
    </row>
    <row r="24" spans="1:18" ht="60.75" thickBot="1" x14ac:dyDescent="0.25">
      <c r="A24" s="51"/>
      <c r="B24" s="88">
        <v>2010</v>
      </c>
      <c r="C24" s="7">
        <v>2011</v>
      </c>
      <c r="D24" s="10">
        <v>2012</v>
      </c>
      <c r="E24" s="9" t="s">
        <v>180</v>
      </c>
      <c r="F24" s="148" t="s">
        <v>172</v>
      </c>
      <c r="G24" s="10" t="s">
        <v>76</v>
      </c>
      <c r="H24" s="39" t="s">
        <v>77</v>
      </c>
      <c r="I24" s="9" t="s">
        <v>181</v>
      </c>
      <c r="J24" s="88" t="s">
        <v>65</v>
      </c>
      <c r="K24" s="10" t="s">
        <v>66</v>
      </c>
      <c r="L24" s="10" t="s">
        <v>67</v>
      </c>
      <c r="M24" s="10" t="s">
        <v>68</v>
      </c>
      <c r="N24" s="10" t="s">
        <v>69</v>
      </c>
      <c r="O24" s="39" t="s">
        <v>70</v>
      </c>
      <c r="P24" s="9" t="s">
        <v>71</v>
      </c>
    </row>
    <row r="25" spans="1:18" x14ac:dyDescent="0.2">
      <c r="A25" s="104" t="s">
        <v>142</v>
      </c>
      <c r="B25" s="173">
        <v>0</v>
      </c>
      <c r="C25" s="114">
        <v>0</v>
      </c>
      <c r="D25" s="114">
        <v>0</v>
      </c>
      <c r="E25" s="121">
        <v>0</v>
      </c>
      <c r="F25" s="114">
        <v>0</v>
      </c>
      <c r="G25" s="114">
        <v>0</v>
      </c>
      <c r="H25" s="168">
        <v>0</v>
      </c>
      <c r="I25" s="121">
        <v>0</v>
      </c>
      <c r="J25" s="114">
        <v>0</v>
      </c>
      <c r="K25" s="114">
        <v>0</v>
      </c>
      <c r="L25" s="114">
        <v>0</v>
      </c>
      <c r="M25" s="114">
        <v>0</v>
      </c>
      <c r="N25" s="114">
        <v>0</v>
      </c>
      <c r="O25" s="174">
        <v>0</v>
      </c>
      <c r="P25" s="108">
        <v>0</v>
      </c>
    </row>
    <row r="26" spans="1:18" ht="23.25" thickBot="1" x14ac:dyDescent="0.25">
      <c r="A26" s="128" t="s">
        <v>143</v>
      </c>
      <c r="B26" s="172">
        <v>0</v>
      </c>
      <c r="C26" s="111">
        <v>0</v>
      </c>
      <c r="D26" s="111">
        <v>0</v>
      </c>
      <c r="E26" s="126">
        <v>0</v>
      </c>
      <c r="F26" s="111">
        <v>0</v>
      </c>
      <c r="G26" s="111">
        <v>0</v>
      </c>
      <c r="H26" s="112">
        <v>0</v>
      </c>
      <c r="I26" s="166">
        <v>0</v>
      </c>
      <c r="J26" s="111">
        <v>0</v>
      </c>
      <c r="K26" s="111">
        <v>0</v>
      </c>
      <c r="L26" s="111">
        <v>0</v>
      </c>
      <c r="M26" s="111">
        <v>0</v>
      </c>
      <c r="N26" s="111">
        <v>0</v>
      </c>
      <c r="O26" s="189">
        <v>0</v>
      </c>
      <c r="P26" s="126">
        <v>0</v>
      </c>
    </row>
    <row r="27" spans="1:18" ht="24.75" thickBot="1" x14ac:dyDescent="0.25">
      <c r="A27" s="120" t="s">
        <v>169</v>
      </c>
      <c r="B27" s="177">
        <f>SUM(B25:B26)</f>
        <v>0</v>
      </c>
      <c r="C27" s="178">
        <f t="shared" ref="C27:G27" si="2">SUM(C25:C26)</f>
        <v>0</v>
      </c>
      <c r="D27" s="178">
        <f t="shared" si="2"/>
        <v>0</v>
      </c>
      <c r="E27" s="11">
        <v>0</v>
      </c>
      <c r="F27" s="178">
        <f t="shared" si="2"/>
        <v>0</v>
      </c>
      <c r="G27" s="178">
        <f t="shared" si="2"/>
        <v>0</v>
      </c>
      <c r="H27" s="178">
        <v>0</v>
      </c>
      <c r="I27" s="11">
        <v>0</v>
      </c>
      <c r="J27" s="177">
        <f t="shared" ref="J27:O27" si="3">SUM(J25:J26)</f>
        <v>0</v>
      </c>
      <c r="K27" s="178">
        <f t="shared" si="3"/>
        <v>0</v>
      </c>
      <c r="L27" s="178">
        <f t="shared" si="3"/>
        <v>0</v>
      </c>
      <c r="M27" s="178">
        <f t="shared" si="3"/>
        <v>0</v>
      </c>
      <c r="N27" s="178">
        <f t="shared" si="3"/>
        <v>0</v>
      </c>
      <c r="O27" s="178">
        <f t="shared" si="3"/>
        <v>0</v>
      </c>
      <c r="P27" s="177">
        <v>0</v>
      </c>
    </row>
    <row r="30" spans="1:18" ht="15.75" x14ac:dyDescent="0.25">
      <c r="A30" s="644" t="s">
        <v>38</v>
      </c>
      <c r="B30" s="644"/>
      <c r="C30" s="644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36"/>
      <c r="R30" s="1"/>
    </row>
    <row r="31" spans="1:18" ht="16.5" thickBot="1" x14ac:dyDescent="0.3">
      <c r="A31" s="643" t="s">
        <v>11</v>
      </c>
      <c r="B31" s="643"/>
      <c r="C31" s="643"/>
      <c r="D31" s="643"/>
      <c r="E31" s="643"/>
      <c r="F31" s="643"/>
      <c r="G31" s="643"/>
      <c r="H31" s="643"/>
      <c r="I31" s="643"/>
      <c r="J31" s="643"/>
      <c r="K31" s="643"/>
      <c r="L31" s="643"/>
      <c r="M31" s="643"/>
      <c r="N31" s="643"/>
      <c r="O31" s="643"/>
      <c r="P31" s="643"/>
      <c r="Q31" s="43"/>
      <c r="R31" s="1"/>
    </row>
    <row r="32" spans="1:18" ht="16.5" thickBot="1" x14ac:dyDescent="0.3">
      <c r="A32" s="52"/>
      <c r="B32" s="658" t="s">
        <v>75</v>
      </c>
      <c r="C32" s="643"/>
      <c r="D32" s="643"/>
      <c r="E32" s="659"/>
      <c r="F32" s="647" t="s">
        <v>171</v>
      </c>
      <c r="G32" s="645"/>
      <c r="H32" s="645"/>
      <c r="I32" s="646"/>
      <c r="J32" s="647" t="s">
        <v>6</v>
      </c>
      <c r="K32" s="648"/>
      <c r="L32" s="648"/>
      <c r="M32" s="648"/>
      <c r="N32" s="648"/>
      <c r="O32" s="648"/>
      <c r="P32" s="649"/>
      <c r="Q32" s="17"/>
      <c r="R32" s="17"/>
    </row>
    <row r="33" spans="1:16" ht="60.75" thickBot="1" x14ac:dyDescent="0.25">
      <c r="A33" s="51"/>
      <c r="B33" s="8">
        <v>2008</v>
      </c>
      <c r="C33" s="7">
        <v>2009</v>
      </c>
      <c r="D33" s="10">
        <v>2010</v>
      </c>
      <c r="E33" s="18">
        <v>2011</v>
      </c>
      <c r="F33" s="148" t="s">
        <v>172</v>
      </c>
      <c r="G33" s="10" t="s">
        <v>76</v>
      </c>
      <c r="H33" s="39" t="s">
        <v>77</v>
      </c>
      <c r="I33" s="9" t="s">
        <v>0</v>
      </c>
      <c r="J33" s="88" t="s">
        <v>65</v>
      </c>
      <c r="K33" s="10" t="s">
        <v>66</v>
      </c>
      <c r="L33" s="10" t="s">
        <v>67</v>
      </c>
      <c r="M33" s="10" t="s">
        <v>68</v>
      </c>
      <c r="N33" s="10" t="s">
        <v>69</v>
      </c>
      <c r="O33" s="39" t="s">
        <v>70</v>
      </c>
      <c r="P33" s="9" t="s">
        <v>71</v>
      </c>
    </row>
    <row r="34" spans="1:16" ht="13.5" thickBot="1" x14ac:dyDescent="0.25">
      <c r="A34" s="23" t="s">
        <v>2</v>
      </c>
      <c r="B34" s="24">
        <v>0</v>
      </c>
      <c r="C34" s="14">
        <v>0</v>
      </c>
      <c r="D34" s="25">
        <v>0</v>
      </c>
      <c r="E34" s="84">
        <v>0</v>
      </c>
      <c r="F34" s="25">
        <v>0</v>
      </c>
      <c r="G34" s="25">
        <v>0</v>
      </c>
      <c r="H34" s="15">
        <v>0</v>
      </c>
      <c r="I34" s="11">
        <v>0</v>
      </c>
      <c r="J34" s="93">
        <v>0</v>
      </c>
      <c r="K34" s="94">
        <v>0</v>
      </c>
      <c r="L34" s="94">
        <v>0</v>
      </c>
      <c r="M34" s="94">
        <v>0</v>
      </c>
      <c r="N34" s="94">
        <v>0</v>
      </c>
      <c r="O34" s="49">
        <v>0</v>
      </c>
      <c r="P34" s="11">
        <v>0</v>
      </c>
    </row>
    <row r="37" spans="1:16" ht="15.75" x14ac:dyDescent="0.25">
      <c r="A37" s="644" t="s">
        <v>39</v>
      </c>
      <c r="B37" s="644"/>
      <c r="C37" s="644"/>
      <c r="D37" s="644"/>
      <c r="E37" s="644"/>
      <c r="F37" s="644"/>
      <c r="G37" s="644"/>
      <c r="H37" s="644"/>
      <c r="I37" s="644"/>
      <c r="J37" s="644"/>
      <c r="K37" s="644"/>
      <c r="L37" s="644"/>
      <c r="M37" s="644"/>
      <c r="N37" s="644"/>
      <c r="O37" s="644"/>
      <c r="P37" s="644"/>
    </row>
    <row r="38" spans="1:16" ht="16.5" thickBot="1" x14ac:dyDescent="0.3">
      <c r="A38" s="643" t="s">
        <v>12</v>
      </c>
      <c r="B38" s="643"/>
      <c r="C38" s="643"/>
      <c r="D38" s="643"/>
      <c r="E38" s="643"/>
      <c r="F38" s="643"/>
      <c r="G38" s="643"/>
      <c r="H38" s="643"/>
      <c r="I38" s="643"/>
      <c r="J38" s="643"/>
      <c r="K38" s="643"/>
      <c r="L38" s="643"/>
      <c r="M38" s="643"/>
      <c r="N38" s="643"/>
      <c r="O38" s="643"/>
      <c r="P38" s="643"/>
    </row>
    <row r="39" spans="1:16" ht="16.5" thickBot="1" x14ac:dyDescent="0.3">
      <c r="A39" s="52"/>
      <c r="B39" s="647" t="s">
        <v>75</v>
      </c>
      <c r="C39" s="645"/>
      <c r="D39" s="645"/>
      <c r="E39" s="646"/>
      <c r="F39" s="645" t="s">
        <v>171</v>
      </c>
      <c r="G39" s="645"/>
      <c r="H39" s="645"/>
      <c r="I39" s="646"/>
      <c r="J39" s="647" t="s">
        <v>8</v>
      </c>
      <c r="K39" s="648"/>
      <c r="L39" s="648"/>
      <c r="M39" s="648"/>
      <c r="N39" s="648"/>
      <c r="O39" s="648"/>
      <c r="P39" s="649"/>
    </row>
    <row r="40" spans="1:16" ht="60.75" thickBot="1" x14ac:dyDescent="0.25">
      <c r="A40" s="51"/>
      <c r="B40" s="101">
        <v>2008</v>
      </c>
      <c r="C40" s="7">
        <v>2009</v>
      </c>
      <c r="D40" s="10">
        <v>2010</v>
      </c>
      <c r="E40" s="18">
        <v>2011</v>
      </c>
      <c r="F40" s="148" t="s">
        <v>172</v>
      </c>
      <c r="G40" s="10" t="s">
        <v>76</v>
      </c>
      <c r="H40" s="39" t="s">
        <v>77</v>
      </c>
      <c r="I40" s="9" t="s">
        <v>0</v>
      </c>
      <c r="J40" s="88" t="s">
        <v>65</v>
      </c>
      <c r="K40" s="10" t="s">
        <v>66</v>
      </c>
      <c r="L40" s="10" t="s">
        <v>67</v>
      </c>
      <c r="M40" s="10" t="s">
        <v>68</v>
      </c>
      <c r="N40" s="10" t="s">
        <v>69</v>
      </c>
      <c r="O40" s="39" t="s">
        <v>70</v>
      </c>
      <c r="P40" s="9" t="s">
        <v>71</v>
      </c>
    </row>
    <row r="41" spans="1:16" ht="13.5" thickBot="1" x14ac:dyDescent="0.25">
      <c r="A41" s="23" t="s">
        <v>2</v>
      </c>
      <c r="B41" s="24">
        <v>0</v>
      </c>
      <c r="C41" s="14">
        <v>0</v>
      </c>
      <c r="D41" s="25">
        <v>0</v>
      </c>
      <c r="E41" s="84">
        <v>0</v>
      </c>
      <c r="F41" s="25">
        <v>0</v>
      </c>
      <c r="G41" s="25">
        <v>0</v>
      </c>
      <c r="H41" s="15">
        <v>0</v>
      </c>
      <c r="I41" s="11">
        <v>0</v>
      </c>
      <c r="J41" s="93">
        <v>0</v>
      </c>
      <c r="K41" s="94">
        <v>0</v>
      </c>
      <c r="L41" s="94">
        <v>0</v>
      </c>
      <c r="M41" s="94">
        <v>0</v>
      </c>
      <c r="N41" s="94">
        <v>0</v>
      </c>
      <c r="O41" s="49">
        <v>0</v>
      </c>
      <c r="P41" s="11">
        <v>0</v>
      </c>
    </row>
    <row r="44" spans="1:16" ht="15.75" x14ac:dyDescent="0.25">
      <c r="A44" s="644" t="s">
        <v>39</v>
      </c>
      <c r="B44" s="644"/>
      <c r="C44" s="644"/>
      <c r="D44" s="644"/>
      <c r="E44" s="644"/>
      <c r="F44" s="644"/>
      <c r="G44" s="644"/>
      <c r="H44" s="644"/>
      <c r="I44" s="644"/>
      <c r="J44" s="644"/>
      <c r="K44" s="644"/>
      <c r="L44" s="644"/>
      <c r="M44" s="644"/>
      <c r="N44" s="644"/>
    </row>
    <row r="45" spans="1:16" ht="16.5" thickBot="1" x14ac:dyDescent="0.3">
      <c r="A45" s="643" t="s">
        <v>13</v>
      </c>
      <c r="B45" s="643"/>
      <c r="C45" s="643"/>
      <c r="D45" s="643"/>
      <c r="E45" s="643"/>
      <c r="F45" s="643"/>
      <c r="G45" s="643"/>
      <c r="H45" s="643"/>
      <c r="I45" s="643"/>
      <c r="J45" s="643"/>
      <c r="K45" s="643"/>
      <c r="L45" s="643"/>
      <c r="M45" s="643"/>
      <c r="N45" s="643"/>
    </row>
    <row r="46" spans="1:16" ht="16.5" thickBot="1" x14ac:dyDescent="0.3">
      <c r="A46" s="52"/>
      <c r="B46" s="647" t="s">
        <v>75</v>
      </c>
      <c r="C46" s="645"/>
      <c r="D46" s="645"/>
      <c r="E46" s="646"/>
      <c r="F46" s="140" t="s">
        <v>73</v>
      </c>
      <c r="G46" s="140"/>
      <c r="H46" s="141"/>
      <c r="I46" s="647" t="s">
        <v>8</v>
      </c>
      <c r="J46" s="645"/>
      <c r="K46" s="645"/>
      <c r="L46" s="645"/>
      <c r="M46" s="645"/>
      <c r="N46" s="646"/>
    </row>
    <row r="47" spans="1:16" ht="36.75" thickBot="1" x14ac:dyDescent="0.25">
      <c r="A47" s="51"/>
      <c r="B47" s="101">
        <v>2008</v>
      </c>
      <c r="C47" s="7">
        <v>2009</v>
      </c>
      <c r="D47" s="10">
        <v>2010</v>
      </c>
      <c r="E47" s="18">
        <v>2011</v>
      </c>
      <c r="F47" s="148" t="s">
        <v>172</v>
      </c>
      <c r="G47" s="10" t="s">
        <v>76</v>
      </c>
      <c r="H47" s="39" t="s">
        <v>77</v>
      </c>
      <c r="I47" s="88" t="s">
        <v>65</v>
      </c>
      <c r="J47" s="10" t="s">
        <v>66</v>
      </c>
      <c r="K47" s="10" t="s">
        <v>67</v>
      </c>
      <c r="L47" s="10" t="s">
        <v>68</v>
      </c>
      <c r="M47" s="10" t="s">
        <v>69</v>
      </c>
      <c r="N47" s="18" t="s">
        <v>70</v>
      </c>
    </row>
    <row r="48" spans="1:16" ht="13.5" thickBot="1" x14ac:dyDescent="0.25">
      <c r="A48" s="23" t="s">
        <v>2</v>
      </c>
      <c r="B48" s="29">
        <v>0</v>
      </c>
      <c r="C48" s="150">
        <v>0</v>
      </c>
      <c r="D48" s="30">
        <v>0</v>
      </c>
      <c r="E48" s="32">
        <v>0</v>
      </c>
      <c r="F48" s="30">
        <v>0</v>
      </c>
      <c r="G48" s="31">
        <v>0</v>
      </c>
      <c r="H48" s="32">
        <v>0</v>
      </c>
      <c r="I48" s="33">
        <v>0</v>
      </c>
      <c r="J48" s="34">
        <v>0</v>
      </c>
      <c r="K48" s="34">
        <v>0</v>
      </c>
      <c r="L48" s="34">
        <v>0</v>
      </c>
      <c r="M48" s="34">
        <v>0</v>
      </c>
      <c r="N48" s="35">
        <v>0</v>
      </c>
    </row>
    <row r="51" spans="1:16" ht="15.75" x14ac:dyDescent="0.25">
      <c r="A51" s="644" t="s">
        <v>40</v>
      </c>
      <c r="B51" s="644"/>
      <c r="C51" s="644"/>
      <c r="D51" s="644"/>
      <c r="E51" s="644"/>
      <c r="F51" s="644"/>
      <c r="G51" s="644"/>
      <c r="H51" s="644"/>
      <c r="I51" s="644"/>
      <c r="J51" s="644"/>
      <c r="K51" s="644"/>
      <c r="L51" s="644"/>
      <c r="M51" s="644"/>
      <c r="N51" s="644"/>
      <c r="O51" s="644"/>
      <c r="P51" s="644"/>
    </row>
    <row r="52" spans="1:16" ht="16.5" thickBot="1" x14ac:dyDescent="0.3">
      <c r="A52" s="643" t="s">
        <v>14</v>
      </c>
      <c r="B52" s="643"/>
      <c r="C52" s="643"/>
      <c r="D52" s="643"/>
      <c r="E52" s="643"/>
      <c r="F52" s="643"/>
      <c r="G52" s="643"/>
      <c r="H52" s="643"/>
      <c r="I52" s="643"/>
      <c r="J52" s="643"/>
      <c r="K52" s="643"/>
      <c r="L52" s="643"/>
      <c r="M52" s="643"/>
      <c r="N52" s="643"/>
      <c r="O52" s="643"/>
      <c r="P52" s="643"/>
    </row>
    <row r="53" spans="1:16" ht="16.5" thickBot="1" x14ac:dyDescent="0.3">
      <c r="A53" s="52"/>
      <c r="B53" s="647" t="s">
        <v>75</v>
      </c>
      <c r="C53" s="645"/>
      <c r="D53" s="645"/>
      <c r="E53" s="646"/>
      <c r="F53" s="645" t="s">
        <v>74</v>
      </c>
      <c r="G53" s="645"/>
      <c r="H53" s="645"/>
      <c r="I53" s="646"/>
      <c r="J53" s="647" t="s">
        <v>15</v>
      </c>
      <c r="K53" s="648"/>
      <c r="L53" s="648"/>
      <c r="M53" s="648"/>
      <c r="N53" s="648"/>
      <c r="O53" s="648"/>
      <c r="P53" s="649"/>
    </row>
    <row r="54" spans="1:16" ht="60.75" customHeight="1" thickBot="1" x14ac:dyDescent="0.25">
      <c r="A54" s="38"/>
      <c r="B54" s="101">
        <v>2008</v>
      </c>
      <c r="C54" s="7">
        <v>2009</v>
      </c>
      <c r="D54" s="10">
        <v>2010</v>
      </c>
      <c r="E54" s="18">
        <v>2011</v>
      </c>
      <c r="F54" s="148" t="s">
        <v>172</v>
      </c>
      <c r="G54" s="10" t="s">
        <v>76</v>
      </c>
      <c r="H54" s="39" t="s">
        <v>77</v>
      </c>
      <c r="I54" s="9" t="s">
        <v>0</v>
      </c>
      <c r="J54" s="88" t="s">
        <v>65</v>
      </c>
      <c r="K54" s="10" t="s">
        <v>66</v>
      </c>
      <c r="L54" s="10" t="s">
        <v>67</v>
      </c>
      <c r="M54" s="10" t="s">
        <v>68</v>
      </c>
      <c r="N54" s="10" t="s">
        <v>69</v>
      </c>
      <c r="O54" s="39" t="s">
        <v>70</v>
      </c>
      <c r="P54" s="9" t="s">
        <v>71</v>
      </c>
    </row>
    <row r="55" spans="1:16" ht="24.75" thickBot="1" x14ac:dyDescent="0.25">
      <c r="A55" s="422" t="s">
        <v>4</v>
      </c>
      <c r="B55" s="426">
        <v>0</v>
      </c>
      <c r="C55" s="426">
        <v>0</v>
      </c>
      <c r="D55" s="426">
        <v>0</v>
      </c>
      <c r="E55" s="153">
        <v>0</v>
      </c>
      <c r="F55" s="424">
        <v>0</v>
      </c>
      <c r="G55" s="424">
        <v>0</v>
      </c>
      <c r="H55" s="424">
        <v>0</v>
      </c>
      <c r="I55" s="12">
        <v>0</v>
      </c>
      <c r="J55" s="20">
        <v>0</v>
      </c>
      <c r="K55" s="424">
        <v>0</v>
      </c>
      <c r="L55" s="424">
        <v>0</v>
      </c>
      <c r="M55" s="424">
        <v>0</v>
      </c>
      <c r="N55" s="424">
        <v>0</v>
      </c>
      <c r="O55" s="424">
        <v>0</v>
      </c>
      <c r="P55" s="12">
        <v>0</v>
      </c>
    </row>
    <row r="56" spans="1:16" x14ac:dyDescent="0.2">
      <c r="A56" s="423" t="s">
        <v>203</v>
      </c>
      <c r="B56" s="426">
        <v>0</v>
      </c>
      <c r="C56" s="426">
        <v>0</v>
      </c>
      <c r="D56" s="426">
        <v>0</v>
      </c>
      <c r="E56" s="153">
        <v>0</v>
      </c>
      <c r="F56" s="424">
        <v>0</v>
      </c>
      <c r="G56" s="424">
        <v>0</v>
      </c>
      <c r="H56" s="424">
        <v>0</v>
      </c>
      <c r="I56" s="12">
        <v>0</v>
      </c>
      <c r="J56" s="20">
        <v>0</v>
      </c>
      <c r="K56" s="424">
        <v>0</v>
      </c>
      <c r="L56" s="424">
        <v>0</v>
      </c>
      <c r="M56" s="424">
        <v>0</v>
      </c>
      <c r="N56" s="424">
        <v>0</v>
      </c>
      <c r="O56" s="424">
        <v>0</v>
      </c>
      <c r="P56" s="12">
        <v>0</v>
      </c>
    </row>
    <row r="57" spans="1:16" ht="13.5" thickBot="1" x14ac:dyDescent="0.25">
      <c r="A57" s="54" t="s">
        <v>5</v>
      </c>
      <c r="B57" s="427">
        <v>0</v>
      </c>
      <c r="C57" s="427">
        <v>0</v>
      </c>
      <c r="D57" s="427">
        <v>0</v>
      </c>
      <c r="E57" s="154">
        <v>0</v>
      </c>
      <c r="F57" s="425">
        <v>0</v>
      </c>
      <c r="G57" s="425">
        <v>0</v>
      </c>
      <c r="H57" s="425">
        <v>0</v>
      </c>
      <c r="I57" s="13">
        <v>0</v>
      </c>
      <c r="J57" s="28">
        <v>0</v>
      </c>
      <c r="K57" s="425">
        <v>0</v>
      </c>
      <c r="L57" s="425">
        <v>0</v>
      </c>
      <c r="M57" s="425">
        <v>0</v>
      </c>
      <c r="N57" s="425">
        <v>0</v>
      </c>
      <c r="O57" s="425">
        <v>0</v>
      </c>
      <c r="P57" s="13">
        <v>0</v>
      </c>
    </row>
    <row r="58" spans="1:16" ht="13.5" thickBot="1" x14ac:dyDescent="0.25">
      <c r="A58" s="23" t="s">
        <v>2</v>
      </c>
      <c r="B58" s="417">
        <f t="shared" ref="B58:C58" si="4">B55+B57</f>
        <v>0</v>
      </c>
      <c r="C58" s="417">
        <f t="shared" si="4"/>
        <v>0</v>
      </c>
      <c r="D58" s="417">
        <f>D55+D57</f>
        <v>0</v>
      </c>
      <c r="E58" s="84">
        <f>E55+E57</f>
        <v>0</v>
      </c>
      <c r="F58" s="417">
        <f t="shared" ref="F58:H58" si="5">F55+F57</f>
        <v>0</v>
      </c>
      <c r="G58" s="417">
        <f t="shared" si="5"/>
        <v>0</v>
      </c>
      <c r="H58" s="417">
        <f t="shared" si="5"/>
        <v>0</v>
      </c>
      <c r="I58" s="11">
        <v>0</v>
      </c>
      <c r="J58" s="15">
        <f t="shared" ref="J58:O58" si="6">J55+J57</f>
        <v>0</v>
      </c>
      <c r="K58" s="417">
        <f t="shared" si="6"/>
        <v>0</v>
      </c>
      <c r="L58" s="417">
        <f t="shared" si="6"/>
        <v>0</v>
      </c>
      <c r="M58" s="417">
        <f t="shared" si="6"/>
        <v>0</v>
      </c>
      <c r="N58" s="417">
        <f t="shared" si="6"/>
        <v>0</v>
      </c>
      <c r="O58" s="417">
        <f t="shared" si="6"/>
        <v>0</v>
      </c>
      <c r="P58" s="11">
        <v>0</v>
      </c>
    </row>
    <row r="61" spans="1:16" ht="15.75" x14ac:dyDescent="0.25">
      <c r="A61" s="644" t="s">
        <v>176</v>
      </c>
      <c r="B61" s="644"/>
      <c r="C61" s="644"/>
      <c r="D61" s="644"/>
      <c r="E61" s="644"/>
      <c r="F61" s="644"/>
      <c r="G61" s="644"/>
      <c r="H61" s="644"/>
      <c r="I61" s="644"/>
      <c r="J61" s="644"/>
      <c r="K61" s="644"/>
      <c r="L61" s="644"/>
      <c r="M61" s="644"/>
      <c r="N61" s="644"/>
    </row>
    <row r="62" spans="1:16" ht="16.5" thickBot="1" x14ac:dyDescent="0.3">
      <c r="A62" s="643" t="s">
        <v>7</v>
      </c>
      <c r="B62" s="643"/>
      <c r="C62" s="643"/>
      <c r="D62" s="643"/>
      <c r="E62" s="643"/>
      <c r="F62" s="643"/>
      <c r="G62" s="643"/>
      <c r="H62" s="643"/>
      <c r="I62" s="643"/>
      <c r="J62" s="643"/>
      <c r="K62" s="643"/>
      <c r="L62" s="643"/>
      <c r="M62" s="643"/>
      <c r="N62" s="643"/>
      <c r="O62" s="43"/>
      <c r="P62" s="43"/>
    </row>
    <row r="63" spans="1:16" ht="16.5" thickBot="1" x14ac:dyDescent="0.3">
      <c r="A63" s="52"/>
      <c r="B63" s="647" t="s">
        <v>75</v>
      </c>
      <c r="C63" s="645"/>
      <c r="D63" s="645"/>
      <c r="E63" s="646"/>
      <c r="F63" s="140" t="s">
        <v>73</v>
      </c>
      <c r="G63" s="140"/>
      <c r="H63" s="141"/>
      <c r="I63" s="647" t="s">
        <v>8</v>
      </c>
      <c r="J63" s="645"/>
      <c r="K63" s="645"/>
      <c r="L63" s="645"/>
      <c r="M63" s="645"/>
      <c r="N63" s="646"/>
    </row>
    <row r="64" spans="1:16" ht="36.75" thickBot="1" x14ac:dyDescent="0.25">
      <c r="A64" s="51"/>
      <c r="B64" s="101">
        <v>2008</v>
      </c>
      <c r="C64" s="7">
        <v>2009</v>
      </c>
      <c r="D64" s="10">
        <v>2010</v>
      </c>
      <c r="E64" s="18">
        <v>2011</v>
      </c>
      <c r="F64" s="148" t="s">
        <v>172</v>
      </c>
      <c r="G64" s="10" t="s">
        <v>76</v>
      </c>
      <c r="H64" s="39" t="s">
        <v>77</v>
      </c>
      <c r="I64" s="88" t="s">
        <v>65</v>
      </c>
      <c r="J64" s="10" t="s">
        <v>66</v>
      </c>
      <c r="K64" s="10" t="s">
        <v>67</v>
      </c>
      <c r="L64" s="10" t="s">
        <v>68</v>
      </c>
      <c r="M64" s="10" t="s">
        <v>69</v>
      </c>
      <c r="N64" s="18" t="s">
        <v>70</v>
      </c>
    </row>
    <row r="65" spans="1:16" ht="24.75" thickBot="1" x14ac:dyDescent="0.25">
      <c r="A65" s="422" t="s">
        <v>4</v>
      </c>
      <c r="B65" s="56">
        <v>0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428">
        <v>0</v>
      </c>
    </row>
    <row r="66" spans="1:16" x14ac:dyDescent="0.2">
      <c r="A66" s="423" t="s">
        <v>203</v>
      </c>
      <c r="B66" s="56">
        <v>0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428">
        <v>0</v>
      </c>
    </row>
    <row r="67" spans="1:16" ht="13.5" thickBot="1" x14ac:dyDescent="0.25">
      <c r="A67" s="54" t="s">
        <v>5</v>
      </c>
      <c r="B67" s="59">
        <v>0</v>
      </c>
      <c r="C67" s="59">
        <v>0</v>
      </c>
      <c r="D67" s="59">
        <v>0</v>
      </c>
      <c r="E67" s="59">
        <v>0</v>
      </c>
      <c r="F67" s="59">
        <v>0</v>
      </c>
      <c r="G67" s="59">
        <v>0</v>
      </c>
      <c r="H67" s="59">
        <v>0</v>
      </c>
      <c r="I67" s="59">
        <v>0</v>
      </c>
      <c r="J67" s="59">
        <v>0</v>
      </c>
      <c r="K67" s="59">
        <v>0</v>
      </c>
      <c r="L67" s="59">
        <v>0</v>
      </c>
      <c r="M67" s="59">
        <v>0</v>
      </c>
      <c r="N67" s="429">
        <v>0</v>
      </c>
    </row>
    <row r="68" spans="1:16" ht="13.5" thickBot="1" x14ac:dyDescent="0.25">
      <c r="A68" s="23" t="s">
        <v>2</v>
      </c>
      <c r="B68" s="29">
        <v>0</v>
      </c>
      <c r="C68" s="29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430">
        <v>0</v>
      </c>
    </row>
    <row r="71" spans="1:16" ht="15.75" x14ac:dyDescent="0.25">
      <c r="A71" s="644" t="s">
        <v>185</v>
      </c>
      <c r="B71" s="644"/>
      <c r="C71" s="644"/>
      <c r="D71" s="644"/>
      <c r="E71" s="644"/>
      <c r="F71" s="644"/>
      <c r="G71" s="644"/>
      <c r="H71" s="644"/>
      <c r="I71" s="644"/>
      <c r="J71" s="644"/>
      <c r="K71" s="644"/>
      <c r="L71" s="644"/>
      <c r="M71" s="644"/>
      <c r="N71" s="644"/>
      <c r="O71" s="644"/>
      <c r="P71" s="644"/>
    </row>
    <row r="72" spans="1:16" ht="16.5" thickBot="1" x14ac:dyDescent="0.3">
      <c r="A72" s="643" t="s">
        <v>186</v>
      </c>
      <c r="B72" s="643"/>
      <c r="C72" s="643"/>
      <c r="D72" s="643"/>
      <c r="E72" s="643"/>
      <c r="F72" s="643"/>
      <c r="G72" s="643"/>
      <c r="H72" s="643"/>
      <c r="I72" s="643"/>
      <c r="J72" s="643"/>
      <c r="K72" s="643"/>
      <c r="L72" s="643"/>
      <c r="M72" s="643"/>
      <c r="N72" s="643"/>
      <c r="O72" s="637"/>
      <c r="P72" s="637"/>
    </row>
    <row r="73" spans="1:16" ht="16.5" thickBot="1" x14ac:dyDescent="0.3">
      <c r="A73" s="103"/>
      <c r="B73" s="647" t="s">
        <v>178</v>
      </c>
      <c r="C73" s="645"/>
      <c r="D73" s="645"/>
      <c r="E73" s="646"/>
      <c r="F73" s="647" t="s">
        <v>183</v>
      </c>
      <c r="G73" s="645"/>
      <c r="H73" s="645"/>
      <c r="I73" s="646"/>
      <c r="J73" s="647" t="s">
        <v>3</v>
      </c>
      <c r="K73" s="648"/>
      <c r="L73" s="648"/>
      <c r="M73" s="648"/>
      <c r="N73" s="648"/>
      <c r="O73" s="648"/>
      <c r="P73" s="649"/>
    </row>
    <row r="74" spans="1:16" ht="60.75" thickBot="1" x14ac:dyDescent="0.25">
      <c r="A74" s="51"/>
      <c r="B74" s="88">
        <v>2010</v>
      </c>
      <c r="C74" s="7">
        <v>2011</v>
      </c>
      <c r="D74" s="10" t="s">
        <v>179</v>
      </c>
      <c r="E74" s="9" t="s">
        <v>180</v>
      </c>
      <c r="F74" s="148" t="s">
        <v>172</v>
      </c>
      <c r="G74" s="10" t="s">
        <v>76</v>
      </c>
      <c r="H74" s="39" t="s">
        <v>77</v>
      </c>
      <c r="I74" s="9" t="s">
        <v>181</v>
      </c>
      <c r="J74" s="88" t="s">
        <v>65</v>
      </c>
      <c r="K74" s="10" t="s">
        <v>66</v>
      </c>
      <c r="L74" s="10" t="s">
        <v>67</v>
      </c>
      <c r="M74" s="10" t="s">
        <v>68</v>
      </c>
      <c r="N74" s="10" t="s">
        <v>69</v>
      </c>
      <c r="O74" s="39" t="s">
        <v>70</v>
      </c>
      <c r="P74" s="9" t="s">
        <v>71</v>
      </c>
    </row>
    <row r="75" spans="1:16" x14ac:dyDescent="0.2">
      <c r="A75" s="104" t="s">
        <v>142</v>
      </c>
      <c r="B75" s="173">
        <v>0</v>
      </c>
      <c r="C75" s="114">
        <v>0</v>
      </c>
      <c r="D75" s="114">
        <v>0</v>
      </c>
      <c r="E75" s="121">
        <v>0</v>
      </c>
      <c r="F75" s="114">
        <v>0</v>
      </c>
      <c r="G75" s="114">
        <v>0</v>
      </c>
      <c r="H75" s="114">
        <v>0</v>
      </c>
      <c r="I75" s="121">
        <v>0</v>
      </c>
      <c r="J75" s="114">
        <v>0</v>
      </c>
      <c r="K75" s="114">
        <v>0</v>
      </c>
      <c r="L75" s="114">
        <v>0</v>
      </c>
      <c r="M75" s="114">
        <v>0</v>
      </c>
      <c r="N75" s="114">
        <v>0</v>
      </c>
      <c r="O75" s="114">
        <v>0</v>
      </c>
      <c r="P75" s="108">
        <v>0</v>
      </c>
    </row>
    <row r="76" spans="1:16" ht="23.25" thickBot="1" x14ac:dyDescent="0.25">
      <c r="A76" s="128" t="s">
        <v>143</v>
      </c>
      <c r="B76" s="172">
        <v>0</v>
      </c>
      <c r="C76" s="111">
        <v>0</v>
      </c>
      <c r="D76" s="111">
        <v>0</v>
      </c>
      <c r="E76" s="126">
        <v>0</v>
      </c>
      <c r="F76" s="111">
        <v>0</v>
      </c>
      <c r="G76" s="111">
        <v>0</v>
      </c>
      <c r="H76" s="111">
        <v>0</v>
      </c>
      <c r="I76" s="166">
        <v>0</v>
      </c>
      <c r="J76" s="111">
        <v>0</v>
      </c>
      <c r="K76" s="111">
        <v>0</v>
      </c>
      <c r="L76" s="111">
        <v>0</v>
      </c>
      <c r="M76" s="111">
        <v>0</v>
      </c>
      <c r="N76" s="111">
        <v>0</v>
      </c>
      <c r="O76" s="111">
        <v>0</v>
      </c>
      <c r="P76" s="126">
        <v>0</v>
      </c>
    </row>
    <row r="77" spans="1:16" ht="24.75" thickBot="1" x14ac:dyDescent="0.25">
      <c r="A77" s="120" t="s">
        <v>192</v>
      </c>
      <c r="B77" s="177">
        <f>SUM(B75:B76)</f>
        <v>0</v>
      </c>
      <c r="C77" s="178">
        <f t="shared" ref="C77" si="7">SUM(C75:C76)</f>
        <v>0</v>
      </c>
      <c r="D77" s="178">
        <f t="shared" ref="D77" si="8">SUM(D75:D76)</f>
        <v>0</v>
      </c>
      <c r="E77" s="11">
        <v>0</v>
      </c>
      <c r="F77" s="178">
        <f t="shared" ref="F77:H77" si="9">SUM(F75:F76)</f>
        <v>0</v>
      </c>
      <c r="G77" s="178">
        <f t="shared" si="9"/>
        <v>0</v>
      </c>
      <c r="H77" s="178">
        <f t="shared" si="9"/>
        <v>0</v>
      </c>
      <c r="I77" s="11">
        <v>0</v>
      </c>
      <c r="J77" s="178">
        <f t="shared" ref="J77:O77" si="10">SUM(J75:J76)</f>
        <v>0</v>
      </c>
      <c r="K77" s="178">
        <f t="shared" si="10"/>
        <v>0</v>
      </c>
      <c r="L77" s="178">
        <f t="shared" si="10"/>
        <v>0</v>
      </c>
      <c r="M77" s="178">
        <f t="shared" si="10"/>
        <v>0</v>
      </c>
      <c r="N77" s="178">
        <f t="shared" si="10"/>
        <v>0</v>
      </c>
      <c r="O77" s="178">
        <f t="shared" si="10"/>
        <v>0</v>
      </c>
      <c r="P77" s="177">
        <v>0</v>
      </c>
    </row>
  </sheetData>
  <mergeCells count="37">
    <mergeCell ref="I63:N63"/>
    <mergeCell ref="B12:E12"/>
    <mergeCell ref="B32:E32"/>
    <mergeCell ref="F32:I32"/>
    <mergeCell ref="B39:E39"/>
    <mergeCell ref="F39:I39"/>
    <mergeCell ref="B63:E63"/>
    <mergeCell ref="A31:P31"/>
    <mergeCell ref="A38:P38"/>
    <mergeCell ref="A37:P37"/>
    <mergeCell ref="A44:N44"/>
    <mergeCell ref="A45:N45"/>
    <mergeCell ref="J32:P32"/>
    <mergeCell ref="J39:P39"/>
    <mergeCell ref="A61:N61"/>
    <mergeCell ref="A62:N62"/>
    <mergeCell ref="A10:P10"/>
    <mergeCell ref="A11:P11"/>
    <mergeCell ref="A21:P21"/>
    <mergeCell ref="A22:P22"/>
    <mergeCell ref="A30:P30"/>
    <mergeCell ref="J12:P12"/>
    <mergeCell ref="B23:E23"/>
    <mergeCell ref="F23:I23"/>
    <mergeCell ref="J23:P23"/>
    <mergeCell ref="B46:E46"/>
    <mergeCell ref="B53:E53"/>
    <mergeCell ref="F53:I53"/>
    <mergeCell ref="I46:N46"/>
    <mergeCell ref="J53:P53"/>
    <mergeCell ref="A51:P51"/>
    <mergeCell ref="A52:P52"/>
    <mergeCell ref="A71:P71"/>
    <mergeCell ref="A72:P72"/>
    <mergeCell ref="B73:E73"/>
    <mergeCell ref="F73:I73"/>
    <mergeCell ref="J73:P73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1"/>
  <sheetViews>
    <sheetView workbookViewId="0">
      <selection activeCell="R65" sqref="R65"/>
    </sheetView>
  </sheetViews>
  <sheetFormatPr defaultRowHeight="12.75" x14ac:dyDescent="0.2"/>
  <cols>
    <col min="1" max="1" width="33.5703125" customWidth="1"/>
    <col min="6" max="6" width="10.28515625" customWidth="1"/>
    <col min="9" max="9" width="9.5703125" customWidth="1"/>
    <col min="10" max="15" width="9.42578125" customWidth="1"/>
    <col min="16" max="16" width="8.5703125" customWidth="1"/>
  </cols>
  <sheetData>
    <row r="1" spans="1:20" s="68" customFormat="1" ht="23.25" x14ac:dyDescent="0.35">
      <c r="A1" s="66" t="s">
        <v>72</v>
      </c>
      <c r="B1" s="67"/>
      <c r="C1" s="67"/>
      <c r="D1" s="67"/>
      <c r="E1" s="67"/>
      <c r="F1" s="67"/>
    </row>
    <row r="2" spans="1:20" s="74" customFormat="1" ht="13.5" customHeight="1" thickBot="1" x14ac:dyDescent="0.35">
      <c r="A2" s="75"/>
      <c r="B2" s="76"/>
      <c r="C2" s="77"/>
      <c r="D2" s="76"/>
      <c r="E2" s="76"/>
      <c r="F2" s="76"/>
    </row>
    <row r="3" spans="1:20" s="74" customFormat="1" ht="24" thickBot="1" x14ac:dyDescent="0.4">
      <c r="A3" s="45" t="s">
        <v>177</v>
      </c>
      <c r="B3" s="69"/>
      <c r="C3" s="69"/>
      <c r="D3" s="70"/>
      <c r="E3" s="71"/>
      <c r="F3" s="71"/>
      <c r="G3" s="72"/>
      <c r="H3" s="72"/>
      <c r="I3" s="72"/>
      <c r="J3" s="72"/>
      <c r="K3" s="72"/>
      <c r="L3" s="73"/>
    </row>
    <row r="5" spans="1:20" ht="18" x14ac:dyDescent="0.25">
      <c r="A5" s="6" t="s">
        <v>55</v>
      </c>
    </row>
    <row r="6" spans="1:20" x14ac:dyDescent="0.2">
      <c r="A6" t="s">
        <v>41</v>
      </c>
    </row>
    <row r="9" spans="1:20" ht="15.75" x14ac:dyDescent="0.25">
      <c r="A9" s="644" t="s">
        <v>42</v>
      </c>
      <c r="B9" s="644"/>
      <c r="C9" s="644"/>
      <c r="D9" s="644"/>
      <c r="E9" s="644"/>
      <c r="F9" s="644"/>
      <c r="G9" s="644"/>
      <c r="H9" s="644"/>
      <c r="I9" s="644"/>
      <c r="J9" s="644"/>
      <c r="K9" s="644"/>
      <c r="L9" s="644"/>
      <c r="M9" s="644"/>
      <c r="N9" s="644"/>
      <c r="O9" s="644"/>
      <c r="P9" s="644"/>
    </row>
    <row r="10" spans="1:20" ht="16.5" thickBot="1" x14ac:dyDescent="0.3">
      <c r="A10" s="643" t="s">
        <v>16</v>
      </c>
      <c r="B10" s="643"/>
      <c r="C10" s="643"/>
      <c r="D10" s="643"/>
      <c r="E10" s="643"/>
      <c r="F10" s="643"/>
      <c r="G10" s="643"/>
      <c r="H10" s="643"/>
      <c r="I10" s="643"/>
      <c r="J10" s="643"/>
      <c r="K10" s="643"/>
      <c r="L10" s="643"/>
      <c r="M10" s="643"/>
      <c r="N10" s="643"/>
      <c r="O10" s="643"/>
      <c r="P10" s="643"/>
    </row>
    <row r="11" spans="1:20" ht="16.5" thickBot="1" x14ac:dyDescent="0.3">
      <c r="A11" s="52"/>
      <c r="B11" s="650" t="s">
        <v>75</v>
      </c>
      <c r="C11" s="651"/>
      <c r="D11" s="651"/>
      <c r="E11" s="651"/>
      <c r="F11" s="652"/>
      <c r="G11" s="645" t="s">
        <v>171</v>
      </c>
      <c r="H11" s="645"/>
      <c r="I11" s="645"/>
      <c r="J11" s="646"/>
      <c r="K11" s="647" t="s">
        <v>3</v>
      </c>
      <c r="L11" s="648"/>
      <c r="M11" s="648"/>
      <c r="N11" s="648"/>
      <c r="O11" s="648"/>
      <c r="P11" s="648"/>
      <c r="Q11" s="649"/>
    </row>
    <row r="12" spans="1:20" ht="51.75" customHeight="1" thickBot="1" x14ac:dyDescent="0.25">
      <c r="A12" s="38"/>
      <c r="B12" s="359">
        <v>2008</v>
      </c>
      <c r="C12" s="368">
        <v>2009</v>
      </c>
      <c r="D12" s="368">
        <v>2010</v>
      </c>
      <c r="E12" s="368">
        <v>2011</v>
      </c>
      <c r="F12" s="401">
        <v>2012</v>
      </c>
      <c r="G12" s="148" t="s">
        <v>172</v>
      </c>
      <c r="H12" s="10" t="s">
        <v>76</v>
      </c>
      <c r="I12" s="39" t="s">
        <v>77</v>
      </c>
      <c r="J12" s="9" t="s">
        <v>0</v>
      </c>
      <c r="K12" s="88" t="s">
        <v>65</v>
      </c>
      <c r="L12" s="10" t="s">
        <v>66</v>
      </c>
      <c r="M12" s="10" t="s">
        <v>67</v>
      </c>
      <c r="N12" s="10" t="s">
        <v>68</v>
      </c>
      <c r="O12" s="10" t="s">
        <v>69</v>
      </c>
      <c r="P12" s="39" t="s">
        <v>70</v>
      </c>
      <c r="Q12" s="9" t="s">
        <v>71</v>
      </c>
    </row>
    <row r="13" spans="1:20" s="62" customFormat="1" ht="13.5" thickBot="1" x14ac:dyDescent="0.25">
      <c r="A13" s="435" t="s">
        <v>1</v>
      </c>
      <c r="B13" s="402">
        <v>166.08333333333331</v>
      </c>
      <c r="C13" s="160">
        <v>253.08333333333334</v>
      </c>
      <c r="D13" s="506">
        <v>265</v>
      </c>
      <c r="E13" s="231">
        <v>275.91699999999997</v>
      </c>
      <c r="F13" s="404">
        <f>2.75+1+56+1.417+186.25</f>
        <v>247.417</v>
      </c>
      <c r="G13" s="158">
        <v>230</v>
      </c>
      <c r="H13" s="158">
        <v>231</v>
      </c>
      <c r="I13" s="158">
        <v>233</v>
      </c>
      <c r="J13" s="253">
        <f>RATE(4,,-C13,I13)</f>
        <v>-2.0457928421042781E-2</v>
      </c>
      <c r="K13" s="514">
        <v>382</v>
      </c>
      <c r="L13" s="515">
        <v>442</v>
      </c>
      <c r="M13" s="515">
        <v>467</v>
      </c>
      <c r="N13" s="515">
        <v>514</v>
      </c>
      <c r="O13" s="515">
        <v>565</v>
      </c>
      <c r="P13" s="515">
        <v>621</v>
      </c>
      <c r="Q13" s="253">
        <f>(POWER(P13/K13,1/5))-1</f>
        <v>0.10206103478615081</v>
      </c>
    </row>
    <row r="14" spans="1:20" x14ac:dyDescent="0.2">
      <c r="A14" s="40" t="s">
        <v>4</v>
      </c>
      <c r="B14" s="200">
        <v>260.16666666666703</v>
      </c>
      <c r="C14" s="144">
        <v>289.99999999999926</v>
      </c>
      <c r="D14" s="144">
        <v>254</v>
      </c>
      <c r="E14" s="406">
        <v>254.917</v>
      </c>
      <c r="F14" s="407">
        <f>49+234.167</f>
        <v>283.16700000000003</v>
      </c>
      <c r="G14" s="27">
        <v>233</v>
      </c>
      <c r="H14" s="346">
        <v>214</v>
      </c>
      <c r="I14" s="471">
        <v>197</v>
      </c>
      <c r="J14" s="356">
        <f>RATE(4,,-C14,I14)</f>
        <v>-9.2143814156442072E-2</v>
      </c>
      <c r="K14" s="247">
        <v>592</v>
      </c>
      <c r="L14" s="362">
        <v>719</v>
      </c>
      <c r="M14" s="362">
        <v>771</v>
      </c>
      <c r="N14" s="362">
        <v>845</v>
      </c>
      <c r="O14" s="362">
        <v>926</v>
      </c>
      <c r="P14" s="516">
        <v>1014</v>
      </c>
      <c r="Q14" s="447">
        <f t="shared" ref="Q14:Q17" si="0">(POWER(P14/K14,1/5))-1</f>
        <v>0.11363596903170392</v>
      </c>
      <c r="T14" s="62"/>
    </row>
    <row r="15" spans="1:20" x14ac:dyDescent="0.2">
      <c r="A15" s="498" t="s">
        <v>204</v>
      </c>
      <c r="B15" s="451"/>
      <c r="C15" s="450"/>
      <c r="D15" s="450"/>
      <c r="E15" s="500"/>
      <c r="F15" s="635"/>
      <c r="G15" s="634"/>
      <c r="H15" s="501"/>
      <c r="I15" s="510"/>
      <c r="J15" s="512"/>
      <c r="K15" s="173"/>
      <c r="L15" s="317"/>
      <c r="M15" s="317"/>
      <c r="N15" s="317"/>
      <c r="O15" s="460">
        <v>47</v>
      </c>
      <c r="P15" s="460">
        <v>89</v>
      </c>
      <c r="Q15" s="448"/>
      <c r="T15" s="62"/>
    </row>
    <row r="16" spans="1:20" ht="13.5" thickBot="1" x14ac:dyDescent="0.25">
      <c r="A16" s="499" t="s">
        <v>5</v>
      </c>
      <c r="B16" s="502">
        <v>421.08333333333331</v>
      </c>
      <c r="C16" s="349">
        <v>557.33333333333326</v>
      </c>
      <c r="D16" s="349">
        <v>685.58299999999997</v>
      </c>
      <c r="E16" s="507">
        <v>801.25</v>
      </c>
      <c r="F16" s="636">
        <f>7+858.667</f>
        <v>865.66700000000003</v>
      </c>
      <c r="G16" s="143">
        <v>710</v>
      </c>
      <c r="H16" s="349">
        <v>735</v>
      </c>
      <c r="I16" s="511">
        <v>761</v>
      </c>
      <c r="J16" s="513">
        <f>RATE(4,,-C16,I16)</f>
        <v>8.0979379650783292E-2</v>
      </c>
      <c r="K16" s="517">
        <v>776</v>
      </c>
      <c r="L16" s="365">
        <v>884</v>
      </c>
      <c r="M16" s="365">
        <v>971</v>
      </c>
      <c r="N16" s="365">
        <v>1049</v>
      </c>
      <c r="O16" s="365">
        <v>1049</v>
      </c>
      <c r="P16" s="518">
        <v>1031</v>
      </c>
      <c r="Q16" s="449">
        <f t="shared" si="0"/>
        <v>5.8472036042031439E-2</v>
      </c>
      <c r="T16" s="62"/>
    </row>
    <row r="17" spans="1:20" ht="13.5" thickBot="1" x14ac:dyDescent="0.25">
      <c r="A17" s="205" t="s">
        <v>2</v>
      </c>
      <c r="B17" s="392">
        <f>SUM(B14:B16)</f>
        <v>681.25000000000034</v>
      </c>
      <c r="C17" s="392">
        <f t="shared" ref="C17:F17" si="1">SUM(C14:C16)</f>
        <v>847.33333333333258</v>
      </c>
      <c r="D17" s="392">
        <f t="shared" si="1"/>
        <v>939.58299999999997</v>
      </c>
      <c r="E17" s="392">
        <f t="shared" si="1"/>
        <v>1056.1669999999999</v>
      </c>
      <c r="F17" s="606">
        <f t="shared" si="1"/>
        <v>1148.8340000000001</v>
      </c>
      <c r="G17" s="338">
        <f>G14+G16</f>
        <v>943</v>
      </c>
      <c r="H17" s="338">
        <f>H14+H16</f>
        <v>949</v>
      </c>
      <c r="I17" s="339">
        <f>I14+I16</f>
        <v>958</v>
      </c>
      <c r="J17" s="208">
        <f>RATE(4,,-C17,I17)</f>
        <v>3.1164146912562408E-2</v>
      </c>
      <c r="K17" s="392">
        <f t="shared" ref="K17" si="2">SUM(K14:K16)</f>
        <v>1368</v>
      </c>
      <c r="L17" s="392">
        <f t="shared" ref="L17" si="3">SUM(L14:L16)</f>
        <v>1603</v>
      </c>
      <c r="M17" s="392">
        <f t="shared" ref="M17" si="4">SUM(M14:M16)</f>
        <v>1742</v>
      </c>
      <c r="N17" s="392">
        <f t="shared" ref="N17" si="5">SUM(N14:N16)</f>
        <v>1894</v>
      </c>
      <c r="O17" s="392">
        <f t="shared" ref="O17" si="6">SUM(O14:O16)</f>
        <v>2022</v>
      </c>
      <c r="P17" s="392">
        <f t="shared" ref="P17" si="7">SUM(P14:P16)</f>
        <v>2134</v>
      </c>
      <c r="Q17" s="208">
        <f t="shared" si="0"/>
        <v>9.3003779099326112E-2</v>
      </c>
      <c r="T17" s="62"/>
    </row>
    <row r="20" spans="1:20" ht="15.75" x14ac:dyDescent="0.25">
      <c r="A20" s="644" t="s">
        <v>174</v>
      </c>
      <c r="B20" s="644"/>
      <c r="C20" s="644"/>
      <c r="D20" s="644"/>
      <c r="E20" s="644"/>
      <c r="F20" s="644"/>
      <c r="G20" s="644"/>
      <c r="H20" s="644"/>
      <c r="I20" s="644"/>
      <c r="J20" s="644"/>
      <c r="K20" s="644"/>
      <c r="L20" s="644"/>
      <c r="M20" s="644"/>
      <c r="N20" s="644"/>
      <c r="O20" s="644"/>
      <c r="P20" s="644"/>
    </row>
    <row r="21" spans="1:20" ht="16.5" thickBot="1" x14ac:dyDescent="0.3">
      <c r="A21" s="643" t="s">
        <v>16</v>
      </c>
      <c r="B21" s="643"/>
      <c r="C21" s="643"/>
      <c r="D21" s="643"/>
      <c r="E21" s="643"/>
      <c r="F21" s="643"/>
      <c r="G21" s="643"/>
      <c r="H21" s="643"/>
      <c r="I21" s="643"/>
      <c r="J21" s="643"/>
      <c r="K21" s="643"/>
      <c r="L21" s="643"/>
      <c r="M21" s="643"/>
      <c r="N21" s="643"/>
      <c r="O21" s="637"/>
      <c r="P21" s="637"/>
    </row>
    <row r="22" spans="1:20" ht="29.25" customHeight="1" thickBot="1" x14ac:dyDescent="0.3">
      <c r="A22" s="103"/>
      <c r="B22" s="647" t="s">
        <v>178</v>
      </c>
      <c r="C22" s="645"/>
      <c r="D22" s="645"/>
      <c r="E22" s="646"/>
      <c r="F22" s="647" t="s">
        <v>171</v>
      </c>
      <c r="G22" s="645"/>
      <c r="H22" s="645"/>
      <c r="I22" s="646"/>
      <c r="J22" s="647" t="s">
        <v>3</v>
      </c>
      <c r="K22" s="648"/>
      <c r="L22" s="648"/>
      <c r="M22" s="648"/>
      <c r="N22" s="648"/>
      <c r="O22" s="648"/>
      <c r="P22" s="649"/>
    </row>
    <row r="23" spans="1:20" ht="60.75" thickBot="1" x14ac:dyDescent="0.25">
      <c r="A23" s="51"/>
      <c r="B23" s="88">
        <v>2010</v>
      </c>
      <c r="C23" s="7">
        <v>2011</v>
      </c>
      <c r="D23" s="10">
        <v>2012</v>
      </c>
      <c r="E23" s="9" t="s">
        <v>180</v>
      </c>
      <c r="F23" s="148" t="s">
        <v>172</v>
      </c>
      <c r="G23" s="10" t="s">
        <v>76</v>
      </c>
      <c r="H23" s="39" t="s">
        <v>77</v>
      </c>
      <c r="I23" s="9" t="s">
        <v>181</v>
      </c>
      <c r="J23" s="88" t="s">
        <v>65</v>
      </c>
      <c r="K23" s="10" t="s">
        <v>66</v>
      </c>
      <c r="L23" s="10" t="s">
        <v>67</v>
      </c>
      <c r="M23" s="10" t="s">
        <v>68</v>
      </c>
      <c r="N23" s="10" t="s">
        <v>69</v>
      </c>
      <c r="O23" s="39" t="s">
        <v>70</v>
      </c>
      <c r="P23" s="9" t="s">
        <v>71</v>
      </c>
    </row>
    <row r="24" spans="1:20" x14ac:dyDescent="0.2">
      <c r="A24" s="135" t="s">
        <v>146</v>
      </c>
      <c r="B24" s="191">
        <v>0</v>
      </c>
      <c r="C24" s="180">
        <v>0</v>
      </c>
      <c r="D24" s="239">
        <v>0</v>
      </c>
      <c r="E24" s="121">
        <v>0</v>
      </c>
      <c r="F24" s="478"/>
      <c r="G24" s="479"/>
      <c r="H24" s="480"/>
      <c r="I24" s="481"/>
      <c r="J24" s="239">
        <v>0</v>
      </c>
      <c r="K24" s="239">
        <v>0</v>
      </c>
      <c r="L24" s="239">
        <v>0</v>
      </c>
      <c r="M24" s="239">
        <v>0</v>
      </c>
      <c r="N24" s="239">
        <v>0</v>
      </c>
      <c r="O24" s="265">
        <v>0</v>
      </c>
      <c r="P24" s="126">
        <v>0</v>
      </c>
    </row>
    <row r="25" spans="1:20" ht="36" x14ac:dyDescent="0.2">
      <c r="A25" s="118" t="s">
        <v>147</v>
      </c>
      <c r="B25" s="181">
        <v>0</v>
      </c>
      <c r="C25" s="182">
        <v>0</v>
      </c>
      <c r="D25" s="236">
        <v>0</v>
      </c>
      <c r="E25" s="108">
        <v>0</v>
      </c>
      <c r="F25" s="482"/>
      <c r="G25" s="483"/>
      <c r="H25" s="484"/>
      <c r="I25" s="485"/>
      <c r="J25" s="236">
        <v>0</v>
      </c>
      <c r="K25" s="236">
        <v>0</v>
      </c>
      <c r="L25" s="236">
        <v>0</v>
      </c>
      <c r="M25" s="236">
        <v>0</v>
      </c>
      <c r="N25" s="236">
        <v>0</v>
      </c>
      <c r="O25" s="266">
        <v>0</v>
      </c>
      <c r="P25" s="108">
        <v>0</v>
      </c>
    </row>
    <row r="26" spans="1:20" ht="24" x14ac:dyDescent="0.2">
      <c r="A26" s="118" t="s">
        <v>148</v>
      </c>
      <c r="B26" s="181">
        <v>0</v>
      </c>
      <c r="C26" s="182">
        <v>0</v>
      </c>
      <c r="D26" s="236">
        <v>0</v>
      </c>
      <c r="E26" s="108">
        <v>0</v>
      </c>
      <c r="F26" s="482"/>
      <c r="G26" s="483"/>
      <c r="H26" s="484"/>
      <c r="I26" s="485"/>
      <c r="J26" s="236">
        <v>0</v>
      </c>
      <c r="K26" s="236">
        <v>0</v>
      </c>
      <c r="L26" s="236">
        <v>0</v>
      </c>
      <c r="M26" s="236">
        <v>0</v>
      </c>
      <c r="N26" s="236">
        <v>0</v>
      </c>
      <c r="O26" s="266">
        <v>0</v>
      </c>
      <c r="P26" s="108">
        <v>0</v>
      </c>
    </row>
    <row r="27" spans="1:20" ht="24" x14ac:dyDescent="0.2">
      <c r="A27" s="118" t="s">
        <v>149</v>
      </c>
      <c r="B27" s="181">
        <v>0</v>
      </c>
      <c r="C27" s="182">
        <v>0</v>
      </c>
      <c r="D27" s="236">
        <v>0</v>
      </c>
      <c r="E27" s="108">
        <v>0</v>
      </c>
      <c r="F27" s="482"/>
      <c r="G27" s="483"/>
      <c r="H27" s="484"/>
      <c r="I27" s="485"/>
      <c r="J27" s="236">
        <v>0</v>
      </c>
      <c r="K27" s="236">
        <v>0</v>
      </c>
      <c r="L27" s="236">
        <v>0</v>
      </c>
      <c r="M27" s="236">
        <v>0</v>
      </c>
      <c r="N27" s="236">
        <v>0</v>
      </c>
      <c r="O27" s="266">
        <v>0</v>
      </c>
      <c r="P27" s="108">
        <v>0</v>
      </c>
    </row>
    <row r="28" spans="1:20" ht="24" x14ac:dyDescent="0.2">
      <c r="A28" s="118" t="s">
        <v>150</v>
      </c>
      <c r="B28" s="181">
        <v>4</v>
      </c>
      <c r="C28" s="182">
        <v>11.167</v>
      </c>
      <c r="D28" s="236">
        <v>3.75</v>
      </c>
      <c r="E28" s="108">
        <f>RATE(1,,-B28,D28)</f>
        <v>-6.2500000000000028E-2</v>
      </c>
      <c r="F28" s="482"/>
      <c r="G28" s="483"/>
      <c r="H28" s="484"/>
      <c r="I28" s="485"/>
      <c r="J28" s="236">
        <v>5.4942857142857147</v>
      </c>
      <c r="K28" s="236">
        <v>5.5163147792706333</v>
      </c>
      <c r="L28" s="236">
        <v>6.550498753117207</v>
      </c>
      <c r="M28" s="236">
        <v>6.5527549824150055</v>
      </c>
      <c r="N28" s="236">
        <v>7.4766355140186915</v>
      </c>
      <c r="O28" s="266">
        <v>7.4718927282104177</v>
      </c>
      <c r="P28" s="108">
        <f>(POWER(O28/J28,1/5))-1</f>
        <v>6.3417682952358945E-2</v>
      </c>
    </row>
    <row r="29" spans="1:20" x14ac:dyDescent="0.2">
      <c r="A29" s="118" t="s">
        <v>151</v>
      </c>
      <c r="B29" s="181">
        <v>0</v>
      </c>
      <c r="C29" s="182">
        <v>0</v>
      </c>
      <c r="D29" s="236">
        <v>0</v>
      </c>
      <c r="E29" s="108">
        <v>0</v>
      </c>
      <c r="F29" s="482"/>
      <c r="G29" s="483"/>
      <c r="H29" s="484"/>
      <c r="I29" s="485"/>
      <c r="J29" s="236">
        <v>0</v>
      </c>
      <c r="K29" s="236">
        <v>0</v>
      </c>
      <c r="L29" s="236">
        <v>0</v>
      </c>
      <c r="M29" s="236">
        <v>0</v>
      </c>
      <c r="N29" s="236">
        <v>0</v>
      </c>
      <c r="O29" s="266">
        <v>0</v>
      </c>
      <c r="P29" s="108">
        <v>0</v>
      </c>
    </row>
    <row r="30" spans="1:20" ht="24" x14ac:dyDescent="0.2">
      <c r="A30" s="118" t="s">
        <v>152</v>
      </c>
      <c r="B30" s="181">
        <v>25.167000000000002</v>
      </c>
      <c r="C30" s="182">
        <v>22.667000000000002</v>
      </c>
      <c r="D30" s="236">
        <v>25.167000000000002</v>
      </c>
      <c r="E30" s="108">
        <f>RATE(1,,-B30,D30)</f>
        <v>-8.6687234566180479E-17</v>
      </c>
      <c r="F30" s="482"/>
      <c r="G30" s="483"/>
      <c r="H30" s="484"/>
      <c r="I30" s="485"/>
      <c r="J30" s="236">
        <f>25+26+34</f>
        <v>85</v>
      </c>
      <c r="K30" s="236">
        <f>26+53+65</f>
        <v>144</v>
      </c>
      <c r="L30" s="236">
        <f>27+78+94</f>
        <v>199</v>
      </c>
      <c r="M30" s="236">
        <f>28+107+121</f>
        <v>256</v>
      </c>
      <c r="N30" s="236">
        <f>29+110+121</f>
        <v>260</v>
      </c>
      <c r="O30" s="266">
        <f>30+110+121</f>
        <v>261</v>
      </c>
      <c r="P30" s="108">
        <v>3.8659919688162694E-2</v>
      </c>
    </row>
    <row r="31" spans="1:20" x14ac:dyDescent="0.2">
      <c r="A31" s="118" t="s">
        <v>153</v>
      </c>
      <c r="B31" s="181">
        <v>335</v>
      </c>
      <c r="C31" s="182">
        <v>343</v>
      </c>
      <c r="D31" s="236">
        <f>49+1+356</f>
        <v>406</v>
      </c>
      <c r="E31" s="108">
        <f>RATE(1,,-B31,D31)</f>
        <v>0.21194029850746268</v>
      </c>
      <c r="F31" s="482"/>
      <c r="G31" s="483"/>
      <c r="H31" s="484"/>
      <c r="I31" s="485"/>
      <c r="J31" s="236">
        <v>409</v>
      </c>
      <c r="K31" s="236">
        <v>409.12667946257199</v>
      </c>
      <c r="L31" s="236">
        <v>416.42456359102243</v>
      </c>
      <c r="M31" s="236">
        <v>424.99296600234464</v>
      </c>
      <c r="N31" s="236">
        <v>433.64485981308411</v>
      </c>
      <c r="O31" s="266">
        <v>442.70964414646727</v>
      </c>
      <c r="P31" s="108">
        <v>2.6110218799437094E-2</v>
      </c>
    </row>
    <row r="32" spans="1:20" x14ac:dyDescent="0.2">
      <c r="A32" s="118" t="s">
        <v>154</v>
      </c>
      <c r="B32" s="181">
        <v>0</v>
      </c>
      <c r="C32" s="182">
        <v>0</v>
      </c>
      <c r="D32" s="236">
        <v>0</v>
      </c>
      <c r="E32" s="108">
        <v>0</v>
      </c>
      <c r="F32" s="482"/>
      <c r="G32" s="483"/>
      <c r="H32" s="484"/>
      <c r="I32" s="485"/>
      <c r="J32" s="236">
        <v>0</v>
      </c>
      <c r="K32" s="236">
        <v>0</v>
      </c>
      <c r="L32" s="236">
        <v>0</v>
      </c>
      <c r="M32" s="236">
        <v>0</v>
      </c>
      <c r="N32" s="236">
        <v>0</v>
      </c>
      <c r="O32" s="266">
        <v>0</v>
      </c>
      <c r="P32" s="108">
        <v>0</v>
      </c>
    </row>
    <row r="33" spans="1:16" ht="24" x14ac:dyDescent="0.2">
      <c r="A33" s="118" t="s">
        <v>155</v>
      </c>
      <c r="B33" s="181">
        <v>0</v>
      </c>
      <c r="C33" s="182">
        <v>0</v>
      </c>
      <c r="D33" s="236">
        <v>0</v>
      </c>
      <c r="E33" s="108">
        <v>0</v>
      </c>
      <c r="F33" s="482"/>
      <c r="G33" s="483"/>
      <c r="H33" s="484"/>
      <c r="I33" s="485"/>
      <c r="J33" s="236">
        <v>0</v>
      </c>
      <c r="K33" s="236">
        <v>0</v>
      </c>
      <c r="L33" s="236">
        <v>0</v>
      </c>
      <c r="M33" s="236">
        <v>0</v>
      </c>
      <c r="N33" s="236">
        <v>0</v>
      </c>
      <c r="O33" s="266">
        <v>0</v>
      </c>
      <c r="P33" s="108">
        <v>0</v>
      </c>
    </row>
    <row r="34" spans="1:16" ht="36" x14ac:dyDescent="0.2">
      <c r="A34" s="118" t="s">
        <v>156</v>
      </c>
      <c r="B34" s="181">
        <v>326</v>
      </c>
      <c r="C34" s="182">
        <v>404</v>
      </c>
      <c r="D34" s="236">
        <v>444</v>
      </c>
      <c r="E34" s="108">
        <f>RATE(1,,-B34,D34)</f>
        <v>0.3619631901840491</v>
      </c>
      <c r="F34" s="482"/>
      <c r="G34" s="483"/>
      <c r="H34" s="484"/>
      <c r="I34" s="485"/>
      <c r="J34" s="236">
        <v>451</v>
      </c>
      <c r="K34" s="236">
        <v>555.30902111324372</v>
      </c>
      <c r="L34" s="236">
        <v>570.82917705735667</v>
      </c>
      <c r="M34" s="236">
        <v>621.57561547479486</v>
      </c>
      <c r="N34" s="236">
        <v>675.70093457943926</v>
      </c>
      <c r="O34" s="266">
        <v>735.04744713769981</v>
      </c>
      <c r="P34" s="108">
        <v>9.3247399636091341E-2</v>
      </c>
    </row>
    <row r="35" spans="1:16" ht="24" x14ac:dyDescent="0.2">
      <c r="A35" s="118" t="s">
        <v>157</v>
      </c>
      <c r="B35" s="181">
        <v>0</v>
      </c>
      <c r="C35" s="182">
        <v>0</v>
      </c>
      <c r="D35" s="236">
        <v>0</v>
      </c>
      <c r="E35" s="108">
        <v>0</v>
      </c>
      <c r="F35" s="482"/>
      <c r="G35" s="483"/>
      <c r="H35" s="484"/>
      <c r="I35" s="485"/>
      <c r="J35" s="236">
        <v>0</v>
      </c>
      <c r="K35" s="236">
        <v>0</v>
      </c>
      <c r="L35" s="236">
        <v>0</v>
      </c>
      <c r="M35" s="236">
        <v>0</v>
      </c>
      <c r="N35" s="236">
        <v>0</v>
      </c>
      <c r="O35" s="266">
        <v>0</v>
      </c>
      <c r="P35" s="108">
        <v>0</v>
      </c>
    </row>
    <row r="36" spans="1:16" x14ac:dyDescent="0.2">
      <c r="A36" s="118" t="s">
        <v>158</v>
      </c>
      <c r="B36" s="181">
        <v>127.666</v>
      </c>
      <c r="C36" s="182">
        <v>131.833</v>
      </c>
      <c r="D36" s="236">
        <f>117.5+23.5</f>
        <v>141</v>
      </c>
      <c r="E36" s="108">
        <f>RATE(1,,-B36,D36)</f>
        <v>0.10444440963138188</v>
      </c>
      <c r="F36" s="482"/>
      <c r="G36" s="483"/>
      <c r="H36" s="484"/>
      <c r="I36" s="485"/>
      <c r="J36" s="236">
        <v>136.44142857142856</v>
      </c>
      <c r="K36" s="236">
        <v>146.18234165067179</v>
      </c>
      <c r="L36" s="236">
        <v>159.08354114713217</v>
      </c>
      <c r="M36" s="236">
        <v>169.43552168815944</v>
      </c>
      <c r="N36" s="236">
        <v>180.37383177570092</v>
      </c>
      <c r="O36" s="266">
        <v>192.40123775141825</v>
      </c>
      <c r="P36" s="108">
        <v>7.1155003396644254E-2</v>
      </c>
    </row>
    <row r="37" spans="1:16" ht="24" x14ac:dyDescent="0.2">
      <c r="A37" s="118" t="s">
        <v>159</v>
      </c>
      <c r="B37" s="181">
        <v>17.5</v>
      </c>
      <c r="C37" s="182">
        <v>19.167000000000002</v>
      </c>
      <c r="D37" s="236">
        <f>6+12</f>
        <v>18</v>
      </c>
      <c r="E37" s="108">
        <f>RATE(1,,-B37,D37)</f>
        <v>2.857142857142846E-2</v>
      </c>
      <c r="F37" s="482"/>
      <c r="G37" s="483"/>
      <c r="H37" s="484"/>
      <c r="I37" s="485"/>
      <c r="J37" s="236">
        <v>17.398571428571429</v>
      </c>
      <c r="K37" s="236">
        <v>19.307101727447218</v>
      </c>
      <c r="L37" s="236">
        <v>21.523067331670823</v>
      </c>
      <c r="M37" s="236">
        <v>23.402696365767877</v>
      </c>
      <c r="N37" s="236">
        <v>25.233644859813083</v>
      </c>
      <c r="O37" s="266">
        <v>27.085611139762765</v>
      </c>
      <c r="P37" s="108">
        <v>9.2559278832711103E-2</v>
      </c>
    </row>
    <row r="38" spans="1:16" ht="24" x14ac:dyDescent="0.2">
      <c r="A38" s="118" t="s">
        <v>160</v>
      </c>
      <c r="B38" s="181">
        <v>0</v>
      </c>
      <c r="C38" s="182">
        <v>0</v>
      </c>
      <c r="D38" s="236">
        <v>0</v>
      </c>
      <c r="E38" s="108">
        <v>0</v>
      </c>
      <c r="F38" s="482"/>
      <c r="G38" s="483"/>
      <c r="H38" s="484"/>
      <c r="I38" s="485"/>
      <c r="J38" s="236">
        <v>0</v>
      </c>
      <c r="K38" s="236">
        <v>0</v>
      </c>
      <c r="L38" s="236">
        <v>0</v>
      </c>
      <c r="M38" s="236">
        <v>0</v>
      </c>
      <c r="N38" s="236">
        <v>0</v>
      </c>
      <c r="O38" s="266">
        <v>0</v>
      </c>
      <c r="P38" s="108">
        <v>0</v>
      </c>
    </row>
    <row r="39" spans="1:16" ht="24" x14ac:dyDescent="0.2">
      <c r="A39" s="118" t="s">
        <v>161</v>
      </c>
      <c r="B39" s="181">
        <v>0</v>
      </c>
      <c r="C39" s="182">
        <v>0</v>
      </c>
      <c r="D39" s="236">
        <v>0</v>
      </c>
      <c r="E39" s="108">
        <v>0</v>
      </c>
      <c r="F39" s="482"/>
      <c r="G39" s="483"/>
      <c r="H39" s="484"/>
      <c r="I39" s="485"/>
      <c r="J39" s="236">
        <v>26</v>
      </c>
      <c r="K39" s="236">
        <v>48</v>
      </c>
      <c r="L39" s="236">
        <v>69</v>
      </c>
      <c r="M39" s="236">
        <v>69</v>
      </c>
      <c r="N39" s="236">
        <v>91</v>
      </c>
      <c r="O39" s="266">
        <v>92</v>
      </c>
      <c r="P39" s="108">
        <v>0.92</v>
      </c>
    </row>
    <row r="40" spans="1:16" x14ac:dyDescent="0.2">
      <c r="A40" s="118" t="s">
        <v>162</v>
      </c>
      <c r="B40" s="181">
        <v>0</v>
      </c>
      <c r="C40" s="182">
        <v>0</v>
      </c>
      <c r="D40" s="236">
        <v>0</v>
      </c>
      <c r="E40" s="108">
        <v>0</v>
      </c>
      <c r="F40" s="482"/>
      <c r="G40" s="483"/>
      <c r="H40" s="484"/>
      <c r="I40" s="485"/>
      <c r="J40" s="236">
        <v>0</v>
      </c>
      <c r="K40" s="236">
        <v>0</v>
      </c>
      <c r="L40" s="236">
        <v>0</v>
      </c>
      <c r="M40" s="236">
        <v>0</v>
      </c>
      <c r="N40" s="236">
        <v>0</v>
      </c>
      <c r="O40" s="266">
        <v>0</v>
      </c>
      <c r="P40" s="108">
        <v>0</v>
      </c>
    </row>
    <row r="41" spans="1:16" ht="36" x14ac:dyDescent="0.2">
      <c r="A41" s="118" t="s">
        <v>163</v>
      </c>
      <c r="B41" s="181">
        <v>0</v>
      </c>
      <c r="C41" s="182">
        <v>0</v>
      </c>
      <c r="D41" s="236">
        <v>0</v>
      </c>
      <c r="E41" s="108">
        <v>0</v>
      </c>
      <c r="F41" s="482"/>
      <c r="G41" s="483"/>
      <c r="H41" s="484"/>
      <c r="I41" s="485"/>
      <c r="J41" s="236">
        <v>0</v>
      </c>
      <c r="K41" s="236">
        <v>0</v>
      </c>
      <c r="L41" s="236">
        <v>0</v>
      </c>
      <c r="M41" s="236">
        <v>0</v>
      </c>
      <c r="N41" s="236">
        <v>0</v>
      </c>
      <c r="O41" s="266">
        <v>0</v>
      </c>
      <c r="P41" s="108">
        <v>0</v>
      </c>
    </row>
    <row r="42" spans="1:16" ht="24" x14ac:dyDescent="0.2">
      <c r="A42" s="118" t="s">
        <v>164</v>
      </c>
      <c r="B42" s="181">
        <v>0</v>
      </c>
      <c r="C42" s="182">
        <v>0</v>
      </c>
      <c r="D42" s="236">
        <v>0</v>
      </c>
      <c r="E42" s="108">
        <v>0</v>
      </c>
      <c r="F42" s="482"/>
      <c r="G42" s="483"/>
      <c r="H42" s="484"/>
      <c r="I42" s="485"/>
      <c r="J42" s="236">
        <v>0</v>
      </c>
      <c r="K42" s="236">
        <v>0</v>
      </c>
      <c r="L42" s="236">
        <v>0</v>
      </c>
      <c r="M42" s="236">
        <v>0</v>
      </c>
      <c r="N42" s="236">
        <v>0</v>
      </c>
      <c r="O42" s="266">
        <v>0</v>
      </c>
      <c r="P42" s="108">
        <v>0</v>
      </c>
    </row>
    <row r="43" spans="1:16" ht="24" x14ac:dyDescent="0.2">
      <c r="A43" s="118" t="s">
        <v>165</v>
      </c>
      <c r="B43" s="181">
        <v>0</v>
      </c>
      <c r="C43" s="182">
        <v>0</v>
      </c>
      <c r="D43" s="236">
        <v>0</v>
      </c>
      <c r="E43" s="108">
        <v>0</v>
      </c>
      <c r="F43" s="482"/>
      <c r="G43" s="483"/>
      <c r="H43" s="484"/>
      <c r="I43" s="485"/>
      <c r="J43" s="236">
        <v>0</v>
      </c>
      <c r="K43" s="236">
        <v>0</v>
      </c>
      <c r="L43" s="236">
        <v>0</v>
      </c>
      <c r="M43" s="236">
        <v>0</v>
      </c>
      <c r="N43" s="236">
        <v>0</v>
      </c>
      <c r="O43" s="266">
        <v>0</v>
      </c>
      <c r="P43" s="108">
        <v>0</v>
      </c>
    </row>
    <row r="44" spans="1:16" ht="24" x14ac:dyDescent="0.2">
      <c r="A44" s="118" t="s">
        <v>166</v>
      </c>
      <c r="B44" s="181">
        <v>0</v>
      </c>
      <c r="C44" s="182">
        <v>0</v>
      </c>
      <c r="D44" s="236">
        <v>0</v>
      </c>
      <c r="E44" s="108">
        <v>0</v>
      </c>
      <c r="F44" s="482"/>
      <c r="G44" s="483"/>
      <c r="H44" s="484"/>
      <c r="I44" s="485"/>
      <c r="J44" s="236">
        <v>0</v>
      </c>
      <c r="K44" s="236">
        <v>0</v>
      </c>
      <c r="L44" s="236">
        <v>0</v>
      </c>
      <c r="M44" s="236">
        <v>0</v>
      </c>
      <c r="N44" s="236">
        <v>0</v>
      </c>
      <c r="O44" s="266">
        <v>0</v>
      </c>
      <c r="P44" s="108">
        <v>0</v>
      </c>
    </row>
    <row r="45" spans="1:16" ht="36" x14ac:dyDescent="0.2">
      <c r="A45" s="118" t="s">
        <v>167</v>
      </c>
      <c r="B45" s="181">
        <v>96</v>
      </c>
      <c r="C45" s="182">
        <v>113.917</v>
      </c>
      <c r="D45" s="236">
        <f>91+14.167</f>
        <v>105.167</v>
      </c>
      <c r="E45" s="108">
        <f>RATE(1,,-B45,D45)</f>
        <v>9.5489583333333364E-2</v>
      </c>
      <c r="F45" s="482"/>
      <c r="G45" s="483"/>
      <c r="H45" s="484"/>
      <c r="I45" s="485"/>
      <c r="J45" s="236">
        <v>231.67571428571429</v>
      </c>
      <c r="K45" s="236">
        <v>268.4606525911708</v>
      </c>
      <c r="L45" s="236">
        <v>291.96508728179555</v>
      </c>
      <c r="M45" s="236">
        <v>315.46834701055099</v>
      </c>
      <c r="N45" s="236">
        <v>340.18691588785049</v>
      </c>
      <c r="O45" s="266">
        <v>367.05673027333677</v>
      </c>
      <c r="P45" s="108">
        <v>9.6403810363425907E-2</v>
      </c>
    </row>
    <row r="46" spans="1:16" ht="36.75" thickBot="1" x14ac:dyDescent="0.25">
      <c r="A46" s="117" t="s">
        <v>168</v>
      </c>
      <c r="B46" s="179">
        <v>8.25</v>
      </c>
      <c r="C46" s="194">
        <v>10.417</v>
      </c>
      <c r="D46" s="192">
        <f>0.5+5.25</f>
        <v>5.75</v>
      </c>
      <c r="E46" s="121">
        <f>RATE(1,,-B46,D46)</f>
        <v>-0.30303030303030304</v>
      </c>
      <c r="F46" s="486"/>
      <c r="G46" s="487"/>
      <c r="H46" s="488"/>
      <c r="I46" s="481"/>
      <c r="J46" s="236">
        <v>6.41</v>
      </c>
      <c r="K46" s="236">
        <v>7.3550863723608444</v>
      </c>
      <c r="L46" s="236">
        <v>7.4862842892768082</v>
      </c>
      <c r="M46" s="236">
        <v>7.4888628370457209</v>
      </c>
      <c r="N46" s="236">
        <v>8.4112149532710276</v>
      </c>
      <c r="O46" s="266">
        <v>9.3398659102630219</v>
      </c>
      <c r="P46" s="121">
        <v>7.8193035830369614E-2</v>
      </c>
    </row>
    <row r="47" spans="1:16" s="62" customFormat="1" ht="24.75" thickBot="1" x14ac:dyDescent="0.25">
      <c r="A47" s="120" t="s">
        <v>170</v>
      </c>
      <c r="B47" s="185">
        <f>SUM(B24:B46)</f>
        <v>939.58300000000008</v>
      </c>
      <c r="C47" s="186">
        <f>SUM(C24:C46)</f>
        <v>1056.1679999999999</v>
      </c>
      <c r="D47" s="193">
        <f>SUM(D24:D46)</f>
        <v>1148.8339999999998</v>
      </c>
      <c r="E47" s="11">
        <f>RATE(1,,-B47,D47)</f>
        <v>0.22270624308868905</v>
      </c>
      <c r="F47" s="25">
        <v>943</v>
      </c>
      <c r="G47" s="25">
        <v>949</v>
      </c>
      <c r="H47" s="15">
        <v>958</v>
      </c>
      <c r="I47" s="11">
        <f>RATE(4,,-B47,H47)</f>
        <v>4.8646989538506467E-3</v>
      </c>
      <c r="J47" s="185">
        <f t="shared" ref="J47" si="8">SUM(J24:J46)</f>
        <v>1368.42</v>
      </c>
      <c r="K47" s="193">
        <f t="shared" ref="K47" si="9">SUM(K24:K46)</f>
        <v>1603.257197696737</v>
      </c>
      <c r="L47" s="193">
        <f t="shared" ref="L47" si="10">SUM(L24:L46)</f>
        <v>1741.8622194513716</v>
      </c>
      <c r="M47" s="193">
        <f t="shared" ref="M47" si="11">SUM(M24:M46)</f>
        <v>1893.9167643610788</v>
      </c>
      <c r="N47" s="193">
        <f t="shared" ref="N47" si="12">SUM(N24:N46)</f>
        <v>2022.0280373831774</v>
      </c>
      <c r="O47" s="586">
        <f t="shared" ref="O47" si="13">SUM(O24:O46)</f>
        <v>2134.1124290871585</v>
      </c>
      <c r="P47" s="11">
        <f>RATE(5,,-J47,O47)</f>
        <v>9.2948193151652481E-2</v>
      </c>
    </row>
    <row r="49" spans="1:19" s="53" customFormat="1" x14ac:dyDescent="0.2">
      <c r="D49" s="268"/>
      <c r="J49" s="207"/>
      <c r="K49" s="207"/>
      <c r="L49" s="207"/>
      <c r="M49" s="207"/>
      <c r="N49" s="207"/>
      <c r="O49" s="207"/>
    </row>
    <row r="50" spans="1:19" s="53" customFormat="1" x14ac:dyDescent="0.2">
      <c r="J50" s="264"/>
      <c r="K50" s="264"/>
      <c r="L50" s="264"/>
      <c r="M50" s="264"/>
      <c r="N50" s="264"/>
      <c r="O50" s="264"/>
    </row>
    <row r="51" spans="1:19" ht="15.75" x14ac:dyDescent="0.25">
      <c r="A51" s="644" t="s">
        <v>43</v>
      </c>
      <c r="B51" s="644"/>
      <c r="C51" s="644"/>
      <c r="D51" s="644"/>
      <c r="E51" s="644"/>
      <c r="F51" s="644"/>
      <c r="G51" s="644"/>
      <c r="H51" s="644"/>
      <c r="I51" s="644"/>
      <c r="J51" s="644"/>
      <c r="K51" s="644"/>
      <c r="L51" s="644"/>
      <c r="M51" s="644"/>
      <c r="N51" s="644"/>
      <c r="O51" s="644"/>
      <c r="P51" s="644"/>
      <c r="Q51" s="36"/>
      <c r="R51" s="1"/>
    </row>
    <row r="52" spans="1:19" ht="16.5" thickBot="1" x14ac:dyDescent="0.3">
      <c r="A52" s="643" t="s">
        <v>11</v>
      </c>
      <c r="B52" s="643"/>
      <c r="C52" s="643"/>
      <c r="D52" s="643"/>
      <c r="E52" s="643"/>
      <c r="F52" s="643"/>
      <c r="G52" s="643"/>
      <c r="H52" s="643"/>
      <c r="I52" s="643"/>
      <c r="J52" s="643"/>
      <c r="K52" s="643"/>
      <c r="L52" s="643"/>
      <c r="M52" s="643"/>
      <c r="N52" s="643"/>
      <c r="O52" s="643"/>
      <c r="P52" s="643"/>
      <c r="Q52" s="43"/>
      <c r="R52" s="1"/>
    </row>
    <row r="53" spans="1:19" ht="16.5" thickBot="1" x14ac:dyDescent="0.3">
      <c r="A53" s="52"/>
      <c r="B53" s="647" t="s">
        <v>75</v>
      </c>
      <c r="C53" s="645"/>
      <c r="D53" s="645"/>
      <c r="E53" s="645"/>
      <c r="F53" s="645"/>
      <c r="G53" s="647" t="s">
        <v>171</v>
      </c>
      <c r="H53" s="645"/>
      <c r="I53" s="645"/>
      <c r="J53" s="646"/>
      <c r="K53" s="647" t="s">
        <v>6</v>
      </c>
      <c r="L53" s="648"/>
      <c r="M53" s="648"/>
      <c r="N53" s="648"/>
      <c r="O53" s="648"/>
      <c r="P53" s="648"/>
      <c r="Q53" s="649"/>
      <c r="R53" s="17"/>
      <c r="S53" s="17"/>
    </row>
    <row r="54" spans="1:19" ht="51.75" customHeight="1" thickBot="1" x14ac:dyDescent="0.25">
      <c r="A54" s="51"/>
      <c r="B54" s="8">
        <v>2008</v>
      </c>
      <c r="C54" s="7">
        <v>2009</v>
      </c>
      <c r="D54" s="10">
        <v>2010</v>
      </c>
      <c r="E54" s="18">
        <v>2011</v>
      </c>
      <c r="F54" s="39">
        <v>2012</v>
      </c>
      <c r="G54" s="233" t="s">
        <v>172</v>
      </c>
      <c r="H54" s="10" t="s">
        <v>76</v>
      </c>
      <c r="I54" s="39" t="s">
        <v>77</v>
      </c>
      <c r="J54" s="9" t="s">
        <v>0</v>
      </c>
      <c r="K54" s="88" t="s">
        <v>65</v>
      </c>
      <c r="L54" s="10" t="s">
        <v>66</v>
      </c>
      <c r="M54" s="10" t="s">
        <v>67</v>
      </c>
      <c r="N54" s="10" t="s">
        <v>68</v>
      </c>
      <c r="O54" s="10" t="s">
        <v>69</v>
      </c>
      <c r="P54" s="39" t="s">
        <v>70</v>
      </c>
      <c r="Q54" s="9" t="s">
        <v>71</v>
      </c>
    </row>
    <row r="55" spans="1:19" ht="13.5" thickBot="1" x14ac:dyDescent="0.25">
      <c r="A55" s="23" t="s">
        <v>2</v>
      </c>
      <c r="B55" s="24">
        <v>597.03599999999994</v>
      </c>
      <c r="C55" s="14">
        <v>589.48799999999994</v>
      </c>
      <c r="D55" s="25">
        <v>532.58600000000001</v>
      </c>
      <c r="E55" s="84">
        <v>626.94100000000003</v>
      </c>
      <c r="F55" s="15">
        <v>720.02</v>
      </c>
      <c r="G55" s="26">
        <v>603.52</v>
      </c>
      <c r="H55" s="25">
        <v>607.36</v>
      </c>
      <c r="I55" s="15">
        <v>613.12</v>
      </c>
      <c r="J55" s="11">
        <f>RATE(4,,-C55,I55)</f>
        <v>9.8750173042678122E-3</v>
      </c>
      <c r="K55" s="177">
        <v>935</v>
      </c>
      <c r="L55" s="178">
        <v>1107</v>
      </c>
      <c r="M55" s="178">
        <v>1215</v>
      </c>
      <c r="N55" s="178">
        <v>1335</v>
      </c>
      <c r="O55" s="178">
        <v>1441</v>
      </c>
      <c r="P55" s="178">
        <v>1536</v>
      </c>
      <c r="Q55" s="11">
        <f>RATE(5,,-K55,P55)</f>
        <v>0.10437335756584472</v>
      </c>
    </row>
    <row r="58" spans="1:19" ht="15.75" x14ac:dyDescent="0.25">
      <c r="A58" s="644" t="s">
        <v>44</v>
      </c>
      <c r="B58" s="662"/>
      <c r="C58" s="662"/>
      <c r="D58" s="662"/>
      <c r="E58" s="662"/>
      <c r="F58" s="662"/>
      <c r="G58" s="662"/>
      <c r="H58" s="662"/>
      <c r="I58" s="662"/>
    </row>
    <row r="59" spans="1:19" ht="16.5" thickBot="1" x14ac:dyDescent="0.3">
      <c r="A59" s="637" t="s">
        <v>12</v>
      </c>
      <c r="B59" s="662"/>
      <c r="C59" s="662"/>
      <c r="D59" s="662"/>
      <c r="E59" s="662"/>
      <c r="F59" s="662"/>
      <c r="G59" s="662"/>
      <c r="H59" s="662"/>
      <c r="I59" s="662"/>
    </row>
    <row r="60" spans="1:19" ht="16.5" thickBot="1" x14ac:dyDescent="0.3">
      <c r="A60" s="52"/>
      <c r="B60" s="647" t="s">
        <v>75</v>
      </c>
      <c r="C60" s="645"/>
      <c r="D60" s="645"/>
      <c r="E60" s="645"/>
      <c r="F60" s="646"/>
      <c r="G60" s="645" t="s">
        <v>171</v>
      </c>
      <c r="H60" s="645"/>
      <c r="I60" s="645"/>
      <c r="J60" s="646"/>
      <c r="K60" s="647" t="s">
        <v>8</v>
      </c>
      <c r="L60" s="648"/>
      <c r="M60" s="648"/>
      <c r="N60" s="648"/>
      <c r="O60" s="648"/>
      <c r="P60" s="648"/>
      <c r="Q60" s="649"/>
    </row>
    <row r="61" spans="1:19" ht="51" customHeight="1" thickBot="1" x14ac:dyDescent="0.25">
      <c r="A61" s="51"/>
      <c r="B61" s="101">
        <v>2008</v>
      </c>
      <c r="C61" s="7">
        <v>2009</v>
      </c>
      <c r="D61" s="10">
        <v>2010</v>
      </c>
      <c r="E61" s="18">
        <v>2011</v>
      </c>
      <c r="F61" s="18">
        <v>2012</v>
      </c>
      <c r="G61" s="148" t="s">
        <v>172</v>
      </c>
      <c r="H61" s="10" t="s">
        <v>76</v>
      </c>
      <c r="I61" s="39" t="s">
        <v>77</v>
      </c>
      <c r="J61" s="9" t="s">
        <v>0</v>
      </c>
      <c r="K61" s="88" t="s">
        <v>65</v>
      </c>
      <c r="L61" s="10" t="s">
        <v>66</v>
      </c>
      <c r="M61" s="10" t="s">
        <v>67</v>
      </c>
      <c r="N61" s="10" t="s">
        <v>68</v>
      </c>
      <c r="O61" s="10" t="s">
        <v>69</v>
      </c>
      <c r="P61" s="39" t="s">
        <v>70</v>
      </c>
      <c r="Q61" s="9" t="s">
        <v>71</v>
      </c>
    </row>
    <row r="62" spans="1:19" ht="13.5" thickBot="1" x14ac:dyDescent="0.25">
      <c r="A62" s="23" t="s">
        <v>2</v>
      </c>
      <c r="B62" s="24">
        <v>489.23399999999992</v>
      </c>
      <c r="C62" s="14">
        <v>495.88400000000007</v>
      </c>
      <c r="D62" s="25">
        <v>445.60899999999998</v>
      </c>
      <c r="E62" s="84">
        <v>542.13900000000001</v>
      </c>
      <c r="F62" s="84">
        <v>630.59299999999996</v>
      </c>
      <c r="G62" s="25">
        <v>509</v>
      </c>
      <c r="H62" s="25">
        <v>519</v>
      </c>
      <c r="I62" s="15">
        <v>520</v>
      </c>
      <c r="J62" s="11">
        <f>RATE(4,,-C62,I62)</f>
        <v>1.1942444064122109E-2</v>
      </c>
      <c r="K62" s="185">
        <f>J69*K55</f>
        <v>822.8</v>
      </c>
      <c r="L62" s="185">
        <f t="shared" ref="L62:P62" si="14">K69*L55</f>
        <v>974.16</v>
      </c>
      <c r="M62" s="185">
        <f t="shared" si="14"/>
        <v>1074.06</v>
      </c>
      <c r="N62" s="185">
        <f t="shared" si="14"/>
        <v>1181.4749999999999</v>
      </c>
      <c r="O62" s="185">
        <f t="shared" si="14"/>
        <v>1275.2850000000001</v>
      </c>
      <c r="P62" s="185">
        <f t="shared" si="14"/>
        <v>1367.04</v>
      </c>
      <c r="Q62" s="11">
        <f>RATE(5,,-K62,P62)</f>
        <v>0.10687196537309346</v>
      </c>
    </row>
    <row r="65" spans="1:17" ht="15.75" x14ac:dyDescent="0.25">
      <c r="A65" s="644" t="s">
        <v>45</v>
      </c>
      <c r="B65" s="644"/>
      <c r="C65" s="644"/>
      <c r="D65" s="644"/>
      <c r="E65" s="644"/>
      <c r="F65" s="644"/>
      <c r="G65" s="644"/>
      <c r="H65" s="644"/>
      <c r="I65" s="644"/>
      <c r="J65" s="644"/>
      <c r="K65" s="644"/>
      <c r="L65" s="644"/>
      <c r="M65" s="644"/>
      <c r="N65" s="644"/>
    </row>
    <row r="66" spans="1:17" ht="16.5" thickBot="1" x14ac:dyDescent="0.3">
      <c r="A66" s="643" t="s">
        <v>13</v>
      </c>
      <c r="B66" s="643"/>
      <c r="C66" s="643"/>
      <c r="D66" s="643"/>
      <c r="E66" s="643"/>
      <c r="F66" s="643"/>
      <c r="G66" s="643"/>
      <c r="H66" s="643"/>
      <c r="I66" s="643"/>
      <c r="J66" s="643"/>
      <c r="K66" s="643"/>
      <c r="L66" s="643"/>
      <c r="M66" s="643"/>
      <c r="N66" s="643"/>
    </row>
    <row r="67" spans="1:17" ht="16.5" thickBot="1" x14ac:dyDescent="0.3">
      <c r="A67" s="52"/>
      <c r="B67" s="647" t="s">
        <v>75</v>
      </c>
      <c r="C67" s="645"/>
      <c r="D67" s="645"/>
      <c r="E67" s="645"/>
      <c r="F67" s="646"/>
      <c r="G67" s="140" t="s">
        <v>73</v>
      </c>
      <c r="H67" s="140"/>
      <c r="I67" s="141"/>
      <c r="J67" s="647" t="s">
        <v>8</v>
      </c>
      <c r="K67" s="645"/>
      <c r="L67" s="645"/>
      <c r="M67" s="645"/>
      <c r="N67" s="645"/>
      <c r="O67" s="646"/>
    </row>
    <row r="68" spans="1:17" ht="36.75" thickBot="1" x14ac:dyDescent="0.25">
      <c r="A68" s="51"/>
      <c r="B68" s="101">
        <v>2008</v>
      </c>
      <c r="C68" s="7">
        <v>2009</v>
      </c>
      <c r="D68" s="10">
        <v>2010</v>
      </c>
      <c r="E68" s="18">
        <v>2011</v>
      </c>
      <c r="F68" s="604">
        <v>2012</v>
      </c>
      <c r="G68" s="148" t="s">
        <v>172</v>
      </c>
      <c r="H68" s="10" t="s">
        <v>76</v>
      </c>
      <c r="I68" s="39" t="s">
        <v>77</v>
      </c>
      <c r="J68" s="88" t="s">
        <v>65</v>
      </c>
      <c r="K68" s="10" t="s">
        <v>66</v>
      </c>
      <c r="L68" s="10" t="s">
        <v>67</v>
      </c>
      <c r="M68" s="10" t="s">
        <v>68</v>
      </c>
      <c r="N68" s="10" t="s">
        <v>69</v>
      </c>
      <c r="O68" s="18" t="s">
        <v>70</v>
      </c>
    </row>
    <row r="69" spans="1:17" ht="13.5" thickBot="1" x14ac:dyDescent="0.25">
      <c r="A69" s="23" t="s">
        <v>2</v>
      </c>
      <c r="B69" s="29">
        <f t="shared" ref="B69:F69" si="15">B62/B55</f>
        <v>0.81943802383775843</v>
      </c>
      <c r="C69" s="29">
        <f t="shared" si="15"/>
        <v>0.84121135629563304</v>
      </c>
      <c r="D69" s="29">
        <f t="shared" si="15"/>
        <v>0.83668928586181379</v>
      </c>
      <c r="E69" s="29">
        <f t="shared" si="15"/>
        <v>0.86473687316669345</v>
      </c>
      <c r="F69" s="430">
        <f t="shared" si="15"/>
        <v>0.8757992833532402</v>
      </c>
      <c r="G69" s="34">
        <f>G62/G55</f>
        <v>0.84338547189819724</v>
      </c>
      <c r="H69" s="31">
        <f>H62/H55</f>
        <v>0.85451791359325602</v>
      </c>
      <c r="I69" s="32">
        <f>I62/I55</f>
        <v>0.84812108559498955</v>
      </c>
      <c r="J69" s="33">
        <v>0.88</v>
      </c>
      <c r="K69" s="34">
        <v>0.88</v>
      </c>
      <c r="L69" s="34">
        <v>0.88400000000000001</v>
      </c>
      <c r="M69" s="34">
        <v>0.88500000000000001</v>
      </c>
      <c r="N69" s="34">
        <v>0.88500000000000001</v>
      </c>
      <c r="O69" s="35">
        <v>0.89</v>
      </c>
    </row>
    <row r="72" spans="1:17" ht="15.75" x14ac:dyDescent="0.25">
      <c r="A72" s="644" t="s">
        <v>46</v>
      </c>
      <c r="B72" s="644"/>
      <c r="C72" s="644"/>
      <c r="D72" s="644"/>
      <c r="E72" s="644"/>
      <c r="F72" s="644"/>
      <c r="G72" s="644"/>
      <c r="H72" s="644"/>
      <c r="I72" s="644"/>
      <c r="J72" s="644"/>
      <c r="K72" s="644"/>
      <c r="L72" s="644"/>
      <c r="M72" s="644"/>
      <c r="N72" s="644"/>
      <c r="O72" s="644"/>
      <c r="P72" s="644"/>
    </row>
    <row r="73" spans="1:17" ht="16.5" thickBot="1" x14ac:dyDescent="0.3">
      <c r="A73" s="643" t="s">
        <v>14</v>
      </c>
      <c r="B73" s="643"/>
      <c r="C73" s="643"/>
      <c r="D73" s="643"/>
      <c r="E73" s="643"/>
      <c r="F73" s="643"/>
      <c r="G73" s="643"/>
      <c r="H73" s="643"/>
      <c r="I73" s="643"/>
      <c r="J73" s="643"/>
      <c r="K73" s="643"/>
      <c r="L73" s="643"/>
      <c r="M73" s="643"/>
      <c r="N73" s="643"/>
      <c r="O73" s="643"/>
      <c r="P73" s="643"/>
    </row>
    <row r="74" spans="1:17" ht="16.5" thickBot="1" x14ac:dyDescent="0.3">
      <c r="A74" s="52"/>
      <c r="B74" s="647" t="s">
        <v>75</v>
      </c>
      <c r="C74" s="645"/>
      <c r="D74" s="645"/>
      <c r="E74" s="645"/>
      <c r="F74" s="646"/>
      <c r="G74" s="645" t="s">
        <v>74</v>
      </c>
      <c r="H74" s="645"/>
      <c r="I74" s="645"/>
      <c r="J74" s="646"/>
      <c r="K74" s="647" t="s">
        <v>15</v>
      </c>
      <c r="L74" s="648"/>
      <c r="M74" s="648"/>
      <c r="N74" s="648"/>
      <c r="O74" s="648"/>
      <c r="P74" s="648"/>
      <c r="Q74" s="649"/>
    </row>
    <row r="75" spans="1:17" ht="60.75" thickBot="1" x14ac:dyDescent="0.25">
      <c r="A75" s="519"/>
      <c r="B75" s="367">
        <v>2008</v>
      </c>
      <c r="C75" s="368">
        <v>2009</v>
      </c>
      <c r="D75" s="360">
        <v>2010</v>
      </c>
      <c r="E75" s="369">
        <v>2011</v>
      </c>
      <c r="F75" s="369">
        <v>2012</v>
      </c>
      <c r="G75" s="148" t="s">
        <v>172</v>
      </c>
      <c r="H75" s="10" t="s">
        <v>76</v>
      </c>
      <c r="I75" s="39" t="s">
        <v>77</v>
      </c>
      <c r="J75" s="256" t="s">
        <v>0</v>
      </c>
      <c r="K75" s="359" t="s">
        <v>65</v>
      </c>
      <c r="L75" s="360" t="s">
        <v>66</v>
      </c>
      <c r="M75" s="360" t="s">
        <v>67</v>
      </c>
      <c r="N75" s="360" t="s">
        <v>68</v>
      </c>
      <c r="O75" s="360" t="s">
        <v>69</v>
      </c>
      <c r="P75" s="361" t="s">
        <v>70</v>
      </c>
      <c r="Q75" s="256" t="s">
        <v>71</v>
      </c>
    </row>
    <row r="76" spans="1:17" x14ac:dyDescent="0.2">
      <c r="A76" s="40" t="s">
        <v>4</v>
      </c>
      <c r="B76" s="200">
        <v>51.5</v>
      </c>
      <c r="C76" s="144">
        <v>66.667000000000002</v>
      </c>
      <c r="D76" s="432">
        <v>75.332999999999998</v>
      </c>
      <c r="E76" s="347">
        <v>73</v>
      </c>
      <c r="F76" s="347">
        <f>22+53.667</f>
        <v>75.667000000000002</v>
      </c>
      <c r="G76" s="142">
        <v>54</v>
      </c>
      <c r="H76" s="144">
        <v>49</v>
      </c>
      <c r="I76" s="195">
        <v>45</v>
      </c>
      <c r="J76" s="356">
        <f>RATE(4,,-C76,I76)</f>
        <v>-9.3588513804554657E-2</v>
      </c>
      <c r="K76" s="92">
        <v>136</v>
      </c>
      <c r="L76" s="138">
        <v>167</v>
      </c>
      <c r="M76" s="138">
        <v>180</v>
      </c>
      <c r="N76" s="138">
        <v>199</v>
      </c>
      <c r="O76" s="138">
        <v>220</v>
      </c>
      <c r="P76" s="138">
        <v>243</v>
      </c>
      <c r="Q76" s="523">
        <f>RATE(5,,-K76,P76)</f>
        <v>0.12308718835476636</v>
      </c>
    </row>
    <row r="77" spans="1:17" x14ac:dyDescent="0.2">
      <c r="A77" s="498" t="s">
        <v>204</v>
      </c>
      <c r="B77" s="451"/>
      <c r="C77" s="450"/>
      <c r="D77" s="521"/>
      <c r="E77" s="505"/>
      <c r="F77" s="505"/>
      <c r="G77" s="439"/>
      <c r="H77" s="437"/>
      <c r="I77" s="497"/>
      <c r="J77" s="512"/>
      <c r="K77" s="461"/>
      <c r="L77" s="460"/>
      <c r="M77" s="460"/>
      <c r="N77" s="460"/>
      <c r="O77" s="460">
        <v>32</v>
      </c>
      <c r="P77">
        <v>42</v>
      </c>
      <c r="Q77" s="524"/>
    </row>
    <row r="78" spans="1:17" ht="13.5" thickBot="1" x14ac:dyDescent="0.25">
      <c r="A78" s="499" t="s">
        <v>5</v>
      </c>
      <c r="B78" s="502">
        <v>69.833333333333329</v>
      </c>
      <c r="C78" s="349">
        <v>72.583333333333329</v>
      </c>
      <c r="D78" s="522">
        <v>71.584000000000003</v>
      </c>
      <c r="E78" s="455">
        <v>98.25</v>
      </c>
      <c r="F78" s="455">
        <f>101.667+1.25</f>
        <v>102.917</v>
      </c>
      <c r="G78" s="520">
        <v>110</v>
      </c>
      <c r="H78" s="202">
        <v>125</v>
      </c>
      <c r="I78" s="259">
        <v>129</v>
      </c>
      <c r="J78" s="513">
        <f>RATE(4,,-C78,I78)</f>
        <v>0.15461767207290125</v>
      </c>
      <c r="K78" s="364">
        <v>83</v>
      </c>
      <c r="L78" s="343">
        <v>106</v>
      </c>
      <c r="M78" s="343">
        <v>126</v>
      </c>
      <c r="N78" s="343">
        <v>200</v>
      </c>
      <c r="O78" s="343">
        <v>245</v>
      </c>
      <c r="P78" s="343">
        <v>276</v>
      </c>
      <c r="Q78" s="525">
        <f>RATE(5,,-K78,P78)</f>
        <v>0.27164590753370021</v>
      </c>
    </row>
    <row r="79" spans="1:17" ht="13.5" thickBot="1" x14ac:dyDescent="0.25">
      <c r="A79" s="205" t="s">
        <v>2</v>
      </c>
      <c r="B79" s="392">
        <f>SUM(B76:B78)</f>
        <v>121.33333333333333</v>
      </c>
      <c r="C79" s="392">
        <f t="shared" ref="C79:K79" si="16">SUM(C76:C78)</f>
        <v>139.25033333333334</v>
      </c>
      <c r="D79" s="392">
        <f t="shared" si="16"/>
        <v>146.917</v>
      </c>
      <c r="E79" s="392">
        <f t="shared" ref="E79" si="17">SUM(E76:E78)</f>
        <v>171.25</v>
      </c>
      <c r="F79" s="392">
        <f t="shared" si="16"/>
        <v>178.584</v>
      </c>
      <c r="G79" s="392">
        <f t="shared" si="16"/>
        <v>164</v>
      </c>
      <c r="H79" s="392">
        <f t="shared" si="16"/>
        <v>174</v>
      </c>
      <c r="I79" s="392">
        <f t="shared" si="16"/>
        <v>174</v>
      </c>
      <c r="J79" s="208">
        <f>RATE(4,,-C79,I79)</f>
        <v>5.727570130712055E-2</v>
      </c>
      <c r="K79" s="392">
        <f t="shared" si="16"/>
        <v>219</v>
      </c>
      <c r="L79" s="392">
        <f t="shared" ref="L79" si="18">SUM(L76:L78)</f>
        <v>273</v>
      </c>
      <c r="M79" s="392">
        <f t="shared" ref="M79" si="19">SUM(M76:M78)</f>
        <v>306</v>
      </c>
      <c r="N79" s="392">
        <f t="shared" ref="N79" si="20">SUM(N76:N78)</f>
        <v>399</v>
      </c>
      <c r="O79" s="392">
        <f t="shared" ref="O79" si="21">SUM(O76:O78)</f>
        <v>497</v>
      </c>
      <c r="P79" s="392">
        <v>561</v>
      </c>
      <c r="Q79" s="208">
        <f>RATE(5,,-K79,P79)</f>
        <v>0.20699021492185765</v>
      </c>
    </row>
    <row r="82" spans="1:16" x14ac:dyDescent="0.2">
      <c r="L82" s="1"/>
      <c r="M82" s="1"/>
      <c r="N82" s="1"/>
      <c r="O82" s="1"/>
    </row>
    <row r="83" spans="1:16" ht="15.75" x14ac:dyDescent="0.25">
      <c r="A83" s="644" t="s">
        <v>173</v>
      </c>
      <c r="B83" s="644"/>
      <c r="C83" s="644"/>
      <c r="D83" s="644"/>
      <c r="E83" s="644"/>
      <c r="F83" s="644"/>
      <c r="G83" s="644"/>
      <c r="H83" s="644"/>
      <c r="I83" s="644"/>
      <c r="J83" s="644"/>
      <c r="K83" s="644"/>
      <c r="L83" s="644"/>
      <c r="M83" s="644"/>
      <c r="N83" s="644"/>
      <c r="O83" s="1"/>
    </row>
    <row r="84" spans="1:16" ht="16.5" thickBot="1" x14ac:dyDescent="0.3">
      <c r="A84" s="643" t="s">
        <v>7</v>
      </c>
      <c r="B84" s="643"/>
      <c r="C84" s="643"/>
      <c r="D84" s="643"/>
      <c r="E84" s="643"/>
      <c r="F84" s="643"/>
      <c r="G84" s="643"/>
      <c r="H84" s="643"/>
      <c r="I84" s="643"/>
      <c r="J84" s="643"/>
      <c r="K84" s="643"/>
      <c r="L84" s="643"/>
      <c r="M84" s="643"/>
      <c r="N84" s="643"/>
      <c r="O84" s="43"/>
      <c r="P84" s="43"/>
    </row>
    <row r="85" spans="1:16" ht="16.5" thickBot="1" x14ac:dyDescent="0.3">
      <c r="A85" s="52"/>
      <c r="B85" s="311" t="s">
        <v>75</v>
      </c>
      <c r="C85" s="140"/>
      <c r="D85" s="140"/>
      <c r="E85" s="140"/>
      <c r="F85" s="141"/>
      <c r="G85" s="140" t="s">
        <v>73</v>
      </c>
      <c r="H85" s="140"/>
      <c r="I85" s="141"/>
      <c r="J85" s="647" t="s">
        <v>8</v>
      </c>
      <c r="K85" s="645"/>
      <c r="L85" s="645"/>
      <c r="M85" s="645"/>
      <c r="N85" s="645"/>
      <c r="O85" s="646"/>
    </row>
    <row r="86" spans="1:16" ht="36.75" thickBot="1" x14ac:dyDescent="0.25">
      <c r="A86" s="519"/>
      <c r="B86" s="367">
        <v>2008</v>
      </c>
      <c r="C86" s="368">
        <v>2009</v>
      </c>
      <c r="D86" s="360">
        <v>2010</v>
      </c>
      <c r="E86" s="369">
        <v>2011</v>
      </c>
      <c r="F86" s="369">
        <v>2012</v>
      </c>
      <c r="G86" s="473" t="s">
        <v>172</v>
      </c>
      <c r="H86" s="360" t="s">
        <v>76</v>
      </c>
      <c r="I86" s="361" t="s">
        <v>77</v>
      </c>
      <c r="J86" s="359" t="s">
        <v>65</v>
      </c>
      <c r="K86" s="360" t="s">
        <v>66</v>
      </c>
      <c r="L86" s="360" t="s">
        <v>67</v>
      </c>
      <c r="M86" s="360" t="s">
        <v>68</v>
      </c>
      <c r="N86" s="360" t="s">
        <v>69</v>
      </c>
      <c r="O86" s="369" t="s">
        <v>70</v>
      </c>
    </row>
    <row r="87" spans="1:16" x14ac:dyDescent="0.2">
      <c r="A87" s="40" t="s">
        <v>4</v>
      </c>
      <c r="B87" s="97">
        <f>B76/B14</f>
        <v>0.19795003203074923</v>
      </c>
      <c r="C87" s="149">
        <f>C76/C14</f>
        <v>0.22988620689655231</v>
      </c>
      <c r="D87" s="528">
        <f>D76/D14</f>
        <v>0.29658661417322835</v>
      </c>
      <c r="E87" s="58">
        <f>E76/D14</f>
        <v>0.2874015748031496</v>
      </c>
      <c r="F87" s="58">
        <f>F76/E14</f>
        <v>0.29682994857149581</v>
      </c>
      <c r="G87" s="97">
        <f>G76/G14</f>
        <v>0.23175965665236051</v>
      </c>
      <c r="H87" s="149">
        <f>H76/H14</f>
        <v>0.22897196261682243</v>
      </c>
      <c r="I87" s="58">
        <f>I76/I14</f>
        <v>0.22842639593908629</v>
      </c>
      <c r="J87" s="97">
        <f t="shared" ref="J87:O87" si="22">K76/K14</f>
        <v>0.22972972972972974</v>
      </c>
      <c r="K87" s="149">
        <f t="shared" si="22"/>
        <v>0.23226703755215578</v>
      </c>
      <c r="L87" s="149">
        <f t="shared" si="22"/>
        <v>0.23346303501945526</v>
      </c>
      <c r="M87" s="149">
        <f t="shared" si="22"/>
        <v>0.23550295857988165</v>
      </c>
      <c r="N87" s="149">
        <f t="shared" si="22"/>
        <v>0.23758099352051837</v>
      </c>
      <c r="O87" s="57">
        <f t="shared" si="22"/>
        <v>0.23964497041420119</v>
      </c>
    </row>
    <row r="88" spans="1:16" x14ac:dyDescent="0.2">
      <c r="A88" s="498" t="s">
        <v>204</v>
      </c>
      <c r="B88" s="374"/>
      <c r="C88" s="371"/>
      <c r="D88" s="527"/>
      <c r="E88" s="380"/>
      <c r="F88" s="380"/>
      <c r="G88" s="374"/>
      <c r="H88" s="371"/>
      <c r="I88" s="380"/>
      <c r="J88" s="374"/>
      <c r="K88" s="371"/>
      <c r="L88" s="371"/>
      <c r="M88" s="371"/>
      <c r="N88" s="371"/>
      <c r="O88" s="375"/>
    </row>
    <row r="89" spans="1:16" ht="13.5" thickBot="1" x14ac:dyDescent="0.25">
      <c r="A89" s="499" t="s">
        <v>5</v>
      </c>
      <c r="B89" s="376">
        <f t="shared" ref="B89:D90" si="23">B78/B16</f>
        <v>0.16584207401543638</v>
      </c>
      <c r="C89" s="377">
        <f t="shared" si="23"/>
        <v>0.13023325358851676</v>
      </c>
      <c r="D89" s="529">
        <f t="shared" si="23"/>
        <v>0.10441332413434989</v>
      </c>
      <c r="E89" s="381">
        <f>E78/D16</f>
        <v>0.14330868764248822</v>
      </c>
      <c r="F89" s="381">
        <f>F78/E16</f>
        <v>0.12844555382215289</v>
      </c>
      <c r="G89" s="376">
        <f t="shared" ref="G89:I90" si="24">G78/G16</f>
        <v>0.15492957746478872</v>
      </c>
      <c r="H89" s="377">
        <f t="shared" si="24"/>
        <v>0.17006802721088435</v>
      </c>
      <c r="I89" s="381">
        <f t="shared" si="24"/>
        <v>0.16951379763469118</v>
      </c>
      <c r="J89" s="376">
        <f t="shared" ref="J89:O90" si="25">K78/K16</f>
        <v>0.10695876288659793</v>
      </c>
      <c r="K89" s="377">
        <f t="shared" si="25"/>
        <v>0.11990950226244344</v>
      </c>
      <c r="L89" s="377">
        <f t="shared" si="25"/>
        <v>0.12976313079299692</v>
      </c>
      <c r="M89" s="377">
        <f t="shared" si="25"/>
        <v>0.19065776930409914</v>
      </c>
      <c r="N89" s="377">
        <f t="shared" si="25"/>
        <v>0.23355576739752146</v>
      </c>
      <c r="O89" s="379">
        <f t="shared" si="25"/>
        <v>0.26770126091173618</v>
      </c>
    </row>
    <row r="90" spans="1:16" ht="13.5" thickBot="1" x14ac:dyDescent="0.25">
      <c r="A90" s="205" t="s">
        <v>2</v>
      </c>
      <c r="B90" s="217">
        <f t="shared" si="23"/>
        <v>0.1781039755351681</v>
      </c>
      <c r="C90" s="218">
        <f t="shared" si="23"/>
        <v>0.16433949645948087</v>
      </c>
      <c r="D90" s="526">
        <f t="shared" si="23"/>
        <v>0.15636404660365291</v>
      </c>
      <c r="E90" s="220">
        <f>E79/D17</f>
        <v>0.18226170545869819</v>
      </c>
      <c r="F90" s="220">
        <f>F79/E17</f>
        <v>0.16908689629575627</v>
      </c>
      <c r="G90" s="221">
        <f t="shared" si="24"/>
        <v>0.17391304347826086</v>
      </c>
      <c r="H90" s="219">
        <f t="shared" si="24"/>
        <v>0.18335089567966281</v>
      </c>
      <c r="I90" s="220">
        <f t="shared" si="24"/>
        <v>0.18162839248434237</v>
      </c>
      <c r="J90" s="221">
        <f t="shared" si="25"/>
        <v>0.16008771929824561</v>
      </c>
      <c r="K90" s="222">
        <f t="shared" si="25"/>
        <v>0.1703056768558952</v>
      </c>
      <c r="L90" s="222">
        <f t="shared" si="25"/>
        <v>0.1756601607347876</v>
      </c>
      <c r="M90" s="222">
        <f t="shared" si="25"/>
        <v>0.21066525871172123</v>
      </c>
      <c r="N90" s="222">
        <f t="shared" si="25"/>
        <v>0.24579624134520278</v>
      </c>
      <c r="O90" s="223">
        <f t="shared" si="25"/>
        <v>0.26288659793814434</v>
      </c>
    </row>
    <row r="93" spans="1:16" ht="15.75" x14ac:dyDescent="0.25">
      <c r="A93" s="644" t="s">
        <v>187</v>
      </c>
      <c r="B93" s="644"/>
      <c r="C93" s="644"/>
      <c r="D93" s="644"/>
      <c r="E93" s="644"/>
      <c r="F93" s="644"/>
      <c r="G93" s="644"/>
      <c r="H93" s="644"/>
      <c r="I93" s="644"/>
      <c r="J93" s="644"/>
      <c r="K93" s="644"/>
      <c r="L93" s="644"/>
      <c r="M93" s="644"/>
      <c r="N93" s="644"/>
      <c r="O93" s="644"/>
      <c r="P93" s="644"/>
    </row>
    <row r="94" spans="1:16" s="269" customFormat="1" ht="16.5" thickBot="1" x14ac:dyDescent="0.3">
      <c r="A94" s="660" t="s">
        <v>184</v>
      </c>
      <c r="B94" s="660"/>
      <c r="C94" s="660"/>
      <c r="D94" s="660"/>
      <c r="E94" s="660"/>
      <c r="F94" s="660"/>
      <c r="G94" s="660"/>
      <c r="H94" s="660"/>
      <c r="I94" s="660"/>
      <c r="J94" s="660"/>
      <c r="K94" s="660"/>
      <c r="L94" s="660"/>
      <c r="M94" s="660"/>
      <c r="N94" s="660"/>
      <c r="O94" s="661"/>
      <c r="P94" s="661"/>
    </row>
    <row r="95" spans="1:16" s="269" customFormat="1" ht="16.5" thickBot="1" x14ac:dyDescent="0.3">
      <c r="A95" s="270"/>
      <c r="B95" s="638" t="s">
        <v>178</v>
      </c>
      <c r="C95" s="639"/>
      <c r="D95" s="639"/>
      <c r="E95" s="640"/>
      <c r="F95" s="638" t="s">
        <v>188</v>
      </c>
      <c r="G95" s="639"/>
      <c r="H95" s="639"/>
      <c r="I95" s="640"/>
      <c r="J95" s="638" t="s">
        <v>3</v>
      </c>
      <c r="K95" s="641"/>
      <c r="L95" s="641"/>
      <c r="M95" s="641"/>
      <c r="N95" s="641"/>
      <c r="O95" s="641"/>
      <c r="P95" s="642"/>
    </row>
    <row r="96" spans="1:16" s="269" customFormat="1" ht="60.75" thickBot="1" x14ac:dyDescent="0.25">
      <c r="A96" s="271"/>
      <c r="B96" s="590">
        <v>2010</v>
      </c>
      <c r="C96" s="591">
        <v>2011</v>
      </c>
      <c r="D96" s="592">
        <v>2012</v>
      </c>
      <c r="E96" s="385" t="s">
        <v>180</v>
      </c>
      <c r="F96" s="274" t="s">
        <v>172</v>
      </c>
      <c r="G96" s="274" t="s">
        <v>76</v>
      </c>
      <c r="H96" s="276" t="s">
        <v>77</v>
      </c>
      <c r="I96" s="275" t="s">
        <v>181</v>
      </c>
      <c r="J96" s="272" t="s">
        <v>65</v>
      </c>
      <c r="K96" s="274" t="s">
        <v>66</v>
      </c>
      <c r="L96" s="274" t="s">
        <v>67</v>
      </c>
      <c r="M96" s="274" t="s">
        <v>68</v>
      </c>
      <c r="N96" s="274" t="s">
        <v>69</v>
      </c>
      <c r="O96" s="276" t="s">
        <v>70</v>
      </c>
      <c r="P96" s="275" t="s">
        <v>71</v>
      </c>
    </row>
    <row r="97" spans="1:16" s="269" customFormat="1" x14ac:dyDescent="0.2">
      <c r="A97" s="587" t="s">
        <v>146</v>
      </c>
      <c r="B97" s="596">
        <v>0</v>
      </c>
      <c r="C97" s="597">
        <v>0</v>
      </c>
      <c r="D97" s="600">
        <v>0</v>
      </c>
      <c r="E97" s="387">
        <v>0</v>
      </c>
      <c r="F97" s="593"/>
      <c r="G97" s="489"/>
      <c r="H97" s="490"/>
      <c r="I97" s="491"/>
      <c r="J97" s="277">
        <v>0</v>
      </c>
      <c r="K97" s="277">
        <v>0</v>
      </c>
      <c r="L97" s="277">
        <v>0</v>
      </c>
      <c r="M97" s="277">
        <v>0</v>
      </c>
      <c r="N97" s="277">
        <v>0</v>
      </c>
      <c r="O97" s="279">
        <v>0</v>
      </c>
      <c r="P97" s="280">
        <v>0</v>
      </c>
    </row>
    <row r="98" spans="1:16" s="269" customFormat="1" ht="36" x14ac:dyDescent="0.2">
      <c r="A98" s="588" t="s">
        <v>147</v>
      </c>
      <c r="B98" s="281">
        <v>0</v>
      </c>
      <c r="C98" s="282">
        <v>0</v>
      </c>
      <c r="D98" s="601">
        <v>0</v>
      </c>
      <c r="E98" s="285">
        <v>0</v>
      </c>
      <c r="F98" s="594"/>
      <c r="G98" s="492"/>
      <c r="H98" s="493"/>
      <c r="I98" s="494"/>
      <c r="J98" s="283">
        <v>0</v>
      </c>
      <c r="K98" s="283">
        <v>0</v>
      </c>
      <c r="L98" s="283">
        <v>0</v>
      </c>
      <c r="M98" s="283">
        <v>0</v>
      </c>
      <c r="N98" s="283">
        <v>0</v>
      </c>
      <c r="O98" s="284">
        <v>0</v>
      </c>
      <c r="P98" s="280">
        <v>0</v>
      </c>
    </row>
    <row r="99" spans="1:16" s="269" customFormat="1" ht="24" x14ac:dyDescent="0.2">
      <c r="A99" s="588" t="s">
        <v>148</v>
      </c>
      <c r="B99" s="281">
        <v>0</v>
      </c>
      <c r="C99" s="282">
        <v>0</v>
      </c>
      <c r="D99" s="601">
        <v>0</v>
      </c>
      <c r="E99" s="285">
        <v>0</v>
      </c>
      <c r="F99" s="594"/>
      <c r="G99" s="492"/>
      <c r="H99" s="493"/>
      <c r="I99" s="494"/>
      <c r="J99" s="283">
        <v>0</v>
      </c>
      <c r="K99" s="283">
        <v>0</v>
      </c>
      <c r="L99" s="283">
        <v>0</v>
      </c>
      <c r="M99" s="283">
        <v>0</v>
      </c>
      <c r="N99" s="283">
        <v>0</v>
      </c>
      <c r="O99" s="284">
        <v>0</v>
      </c>
      <c r="P99" s="280">
        <v>0</v>
      </c>
    </row>
    <row r="100" spans="1:16" s="269" customFormat="1" ht="24" x14ac:dyDescent="0.2">
      <c r="A100" s="588" t="s">
        <v>149</v>
      </c>
      <c r="B100" s="281">
        <v>0</v>
      </c>
      <c r="C100" s="282">
        <v>0</v>
      </c>
      <c r="D100" s="601">
        <v>0</v>
      </c>
      <c r="E100" s="285">
        <v>0</v>
      </c>
      <c r="F100" s="594"/>
      <c r="G100" s="492"/>
      <c r="H100" s="493"/>
      <c r="I100" s="494"/>
      <c r="J100" s="283">
        <v>0</v>
      </c>
      <c r="K100" s="283">
        <v>0</v>
      </c>
      <c r="L100" s="283">
        <v>0</v>
      </c>
      <c r="M100" s="283">
        <v>0</v>
      </c>
      <c r="N100" s="283">
        <v>0</v>
      </c>
      <c r="O100" s="284">
        <v>0</v>
      </c>
      <c r="P100" s="280">
        <v>0</v>
      </c>
    </row>
    <row r="101" spans="1:16" s="269" customFormat="1" ht="24" x14ac:dyDescent="0.2">
      <c r="A101" s="588" t="s">
        <v>150</v>
      </c>
      <c r="B101" s="281">
        <v>3.75</v>
      </c>
      <c r="C101" s="282">
        <v>7</v>
      </c>
      <c r="D101" s="601">
        <v>3.75</v>
      </c>
      <c r="E101" s="285">
        <f t="shared" ref="E101:E120" si="26">(POWER(D101/B101,1/2))-1</f>
        <v>0</v>
      </c>
      <c r="F101" s="594"/>
      <c r="G101" s="492"/>
      <c r="H101" s="493"/>
      <c r="I101" s="494"/>
      <c r="J101" s="283">
        <v>1</v>
      </c>
      <c r="K101" s="283">
        <v>1</v>
      </c>
      <c r="L101" s="283">
        <v>1</v>
      </c>
      <c r="M101" s="283">
        <v>1</v>
      </c>
      <c r="N101" s="283">
        <v>2</v>
      </c>
      <c r="O101" s="283">
        <v>2</v>
      </c>
      <c r="P101" s="280">
        <f t="shared" ref="P101:P120" si="27">(POWER(O101/J101,1/5))-1</f>
        <v>0.1486983549970351</v>
      </c>
    </row>
    <row r="102" spans="1:16" s="269" customFormat="1" x14ac:dyDescent="0.2">
      <c r="A102" s="588" t="s">
        <v>151</v>
      </c>
      <c r="B102" s="281">
        <v>0</v>
      </c>
      <c r="C102" s="282">
        <v>0</v>
      </c>
      <c r="D102" s="601">
        <v>0</v>
      </c>
      <c r="E102" s="285">
        <v>0</v>
      </c>
      <c r="F102" s="594"/>
      <c r="G102" s="492"/>
      <c r="H102" s="493"/>
      <c r="I102" s="494"/>
      <c r="J102" s="283">
        <v>0</v>
      </c>
      <c r="K102" s="283">
        <v>0</v>
      </c>
      <c r="L102" s="283">
        <v>0</v>
      </c>
      <c r="M102" s="283">
        <v>0</v>
      </c>
      <c r="N102" s="283">
        <v>0</v>
      </c>
      <c r="O102" s="284">
        <v>0</v>
      </c>
      <c r="P102" s="280">
        <v>0</v>
      </c>
    </row>
    <row r="103" spans="1:16" s="269" customFormat="1" ht="24" x14ac:dyDescent="0.2">
      <c r="A103" s="588" t="s">
        <v>152</v>
      </c>
      <c r="B103" s="281">
        <v>8.6669999999999998</v>
      </c>
      <c r="C103" s="282">
        <v>7.6669999999999998</v>
      </c>
      <c r="D103" s="601">
        <v>8.6669999999999998</v>
      </c>
      <c r="E103" s="285">
        <f t="shared" si="26"/>
        <v>0</v>
      </c>
      <c r="F103" s="594"/>
      <c r="G103" s="492"/>
      <c r="H103" s="493"/>
      <c r="I103" s="494"/>
      <c r="J103" s="283">
        <v>4</v>
      </c>
      <c r="K103" s="283">
        <v>5</v>
      </c>
      <c r="L103" s="283">
        <v>5</v>
      </c>
      <c r="M103" s="283">
        <f>6+20+22</f>
        <v>48</v>
      </c>
      <c r="N103" s="283">
        <f>6+40+42</f>
        <v>88</v>
      </c>
      <c r="O103" s="283">
        <v>118</v>
      </c>
      <c r="P103" s="280">
        <f t="shared" si="27"/>
        <v>0.96772499916451094</v>
      </c>
    </row>
    <row r="104" spans="1:16" s="269" customFormat="1" x14ac:dyDescent="0.2">
      <c r="A104" s="588" t="s">
        <v>153</v>
      </c>
      <c r="B104" s="281">
        <v>21</v>
      </c>
      <c r="C104" s="282">
        <v>46</v>
      </c>
      <c r="D104" s="601">
        <v>52</v>
      </c>
      <c r="E104" s="285">
        <f t="shared" si="26"/>
        <v>0.5735915849388864</v>
      </c>
      <c r="F104" s="594"/>
      <c r="G104" s="492"/>
      <c r="H104" s="493"/>
      <c r="I104" s="494"/>
      <c r="J104" s="283">
        <v>70</v>
      </c>
      <c r="K104" s="283">
        <v>78</v>
      </c>
      <c r="L104" s="283">
        <v>83</v>
      </c>
      <c r="M104" s="283">
        <v>90</v>
      </c>
      <c r="N104" s="283">
        <v>96</v>
      </c>
      <c r="O104" s="283">
        <v>104</v>
      </c>
      <c r="P104" s="280">
        <f t="shared" si="27"/>
        <v>8.2398196229486853E-2</v>
      </c>
    </row>
    <row r="105" spans="1:16" s="269" customFormat="1" x14ac:dyDescent="0.2">
      <c r="A105" s="588" t="s">
        <v>154</v>
      </c>
      <c r="B105" s="281">
        <v>0</v>
      </c>
      <c r="C105" s="282">
        <v>0</v>
      </c>
      <c r="D105" s="601">
        <v>0</v>
      </c>
      <c r="E105" s="285">
        <v>0</v>
      </c>
      <c r="F105" s="594"/>
      <c r="G105" s="492"/>
      <c r="H105" s="493"/>
      <c r="I105" s="494"/>
      <c r="J105" s="283">
        <v>0</v>
      </c>
      <c r="K105" s="283">
        <v>0</v>
      </c>
      <c r="L105" s="283">
        <v>0</v>
      </c>
      <c r="M105" s="283">
        <v>0</v>
      </c>
      <c r="N105" s="283">
        <v>0</v>
      </c>
      <c r="O105" s="284">
        <v>0</v>
      </c>
      <c r="P105" s="280">
        <v>0</v>
      </c>
    </row>
    <row r="106" spans="1:16" s="269" customFormat="1" ht="24" x14ac:dyDescent="0.2">
      <c r="A106" s="588" t="s">
        <v>155</v>
      </c>
      <c r="B106" s="281">
        <v>0</v>
      </c>
      <c r="C106" s="282">
        <v>0</v>
      </c>
      <c r="D106" s="601">
        <v>0</v>
      </c>
      <c r="E106" s="285">
        <v>0</v>
      </c>
      <c r="F106" s="594"/>
      <c r="G106" s="492"/>
      <c r="H106" s="493"/>
      <c r="I106" s="494"/>
      <c r="J106" s="283">
        <v>0</v>
      </c>
      <c r="K106" s="283">
        <v>0</v>
      </c>
      <c r="L106" s="283">
        <v>0</v>
      </c>
      <c r="M106" s="283">
        <v>0</v>
      </c>
      <c r="N106" s="283">
        <v>0</v>
      </c>
      <c r="O106" s="284">
        <v>0</v>
      </c>
      <c r="P106" s="280">
        <v>0</v>
      </c>
    </row>
    <row r="107" spans="1:16" s="269" customFormat="1" ht="36" x14ac:dyDescent="0.2">
      <c r="A107" s="588" t="s">
        <v>156</v>
      </c>
      <c r="B107" s="281">
        <v>36</v>
      </c>
      <c r="C107" s="282">
        <v>41</v>
      </c>
      <c r="D107" s="601">
        <v>51</v>
      </c>
      <c r="E107" s="285">
        <f t="shared" si="26"/>
        <v>0.19023807142380833</v>
      </c>
      <c r="F107" s="594"/>
      <c r="G107" s="492"/>
      <c r="H107" s="493"/>
      <c r="I107" s="494"/>
      <c r="J107" s="283">
        <v>77</v>
      </c>
      <c r="K107" s="283">
        <v>105</v>
      </c>
      <c r="L107" s="283">
        <v>114</v>
      </c>
      <c r="M107" s="283">
        <v>131</v>
      </c>
      <c r="N107" s="283">
        <v>150</v>
      </c>
      <c r="O107" s="283">
        <v>162</v>
      </c>
      <c r="P107" s="280">
        <f t="shared" si="27"/>
        <v>0.16039235230529436</v>
      </c>
    </row>
    <row r="108" spans="1:16" s="269" customFormat="1" ht="24" x14ac:dyDescent="0.2">
      <c r="A108" s="588" t="s">
        <v>157</v>
      </c>
      <c r="B108" s="281">
        <v>0</v>
      </c>
      <c r="C108" s="282">
        <v>0</v>
      </c>
      <c r="D108" s="601">
        <v>0</v>
      </c>
      <c r="E108" s="285">
        <v>0</v>
      </c>
      <c r="F108" s="594"/>
      <c r="G108" s="492"/>
      <c r="H108" s="493"/>
      <c r="I108" s="494"/>
      <c r="J108" s="283">
        <v>0</v>
      </c>
      <c r="K108" s="283">
        <v>0</v>
      </c>
      <c r="L108" s="283">
        <v>0</v>
      </c>
      <c r="M108" s="283">
        <v>0</v>
      </c>
      <c r="N108" s="283">
        <v>0</v>
      </c>
      <c r="O108" s="284">
        <v>0</v>
      </c>
      <c r="P108" s="280">
        <v>0</v>
      </c>
    </row>
    <row r="109" spans="1:16" s="269" customFormat="1" x14ac:dyDescent="0.2">
      <c r="A109" s="588" t="s">
        <v>158</v>
      </c>
      <c r="B109" s="281">
        <v>42.667000000000002</v>
      </c>
      <c r="C109" s="282">
        <v>23.666</v>
      </c>
      <c r="D109" s="601">
        <v>28.332999999999998</v>
      </c>
      <c r="E109" s="285">
        <f t="shared" si="26"/>
        <v>-0.18510767606187128</v>
      </c>
      <c r="F109" s="594"/>
      <c r="G109" s="492"/>
      <c r="H109" s="493"/>
      <c r="I109" s="494"/>
      <c r="J109" s="283">
        <v>23</v>
      </c>
      <c r="K109" s="283">
        <v>28</v>
      </c>
      <c r="L109" s="283">
        <v>32</v>
      </c>
      <c r="M109" s="283">
        <v>36</v>
      </c>
      <c r="N109" s="283">
        <v>40</v>
      </c>
      <c r="O109" s="283">
        <v>45</v>
      </c>
      <c r="P109" s="280">
        <f t="shared" si="27"/>
        <v>0.14366001004286111</v>
      </c>
    </row>
    <row r="110" spans="1:16" s="269" customFormat="1" ht="24" x14ac:dyDescent="0.2">
      <c r="A110" s="588" t="s">
        <v>159</v>
      </c>
      <c r="B110" s="281">
        <v>2.6669999999999998</v>
      </c>
      <c r="C110" s="282">
        <v>1.583</v>
      </c>
      <c r="D110" s="601">
        <v>0.25</v>
      </c>
      <c r="E110" s="285">
        <f t="shared" si="26"/>
        <v>-0.69383291699684524</v>
      </c>
      <c r="F110" s="594"/>
      <c r="G110" s="492"/>
      <c r="H110" s="493"/>
      <c r="I110" s="494"/>
      <c r="J110" s="283">
        <v>3</v>
      </c>
      <c r="K110" s="283">
        <v>4</v>
      </c>
      <c r="L110" s="283">
        <v>4</v>
      </c>
      <c r="M110" s="283">
        <v>5</v>
      </c>
      <c r="N110" s="283">
        <v>6</v>
      </c>
      <c r="O110" s="283">
        <v>6</v>
      </c>
      <c r="P110" s="280">
        <f t="shared" si="27"/>
        <v>0.1486983549970351</v>
      </c>
    </row>
    <row r="111" spans="1:16" s="269" customFormat="1" ht="24" x14ac:dyDescent="0.2">
      <c r="A111" s="588" t="s">
        <v>160</v>
      </c>
      <c r="B111" s="281">
        <v>0</v>
      </c>
      <c r="C111" s="282">
        <v>0</v>
      </c>
      <c r="D111" s="601">
        <v>0</v>
      </c>
      <c r="E111" s="285">
        <v>0</v>
      </c>
      <c r="F111" s="594"/>
      <c r="G111" s="492"/>
      <c r="H111" s="493"/>
      <c r="I111" s="494"/>
      <c r="J111" s="283">
        <v>0</v>
      </c>
      <c r="K111" s="283">
        <v>0</v>
      </c>
      <c r="L111" s="283">
        <v>0</v>
      </c>
      <c r="M111" s="283">
        <v>0</v>
      </c>
      <c r="N111" s="283">
        <v>0</v>
      </c>
      <c r="O111" s="284">
        <v>0</v>
      </c>
      <c r="P111" s="280">
        <v>0</v>
      </c>
    </row>
    <row r="112" spans="1:16" s="269" customFormat="1" ht="24" x14ac:dyDescent="0.2">
      <c r="A112" s="588" t="s">
        <v>161</v>
      </c>
      <c r="B112" s="281">
        <v>0</v>
      </c>
      <c r="C112" s="282">
        <v>0</v>
      </c>
      <c r="D112" s="601">
        <v>0</v>
      </c>
      <c r="E112" s="285">
        <v>0</v>
      </c>
      <c r="F112" s="594"/>
      <c r="G112" s="492"/>
      <c r="H112" s="493"/>
      <c r="I112" s="494"/>
      <c r="J112" s="283">
        <v>0</v>
      </c>
      <c r="K112" s="283">
        <v>0</v>
      </c>
      <c r="L112" s="283">
        <v>7</v>
      </c>
      <c r="M112" s="283">
        <v>20</v>
      </c>
      <c r="N112" s="283">
        <v>37</v>
      </c>
      <c r="O112" s="284">
        <v>35</v>
      </c>
      <c r="P112" s="280">
        <v>0</v>
      </c>
    </row>
    <row r="113" spans="1:16" s="269" customFormat="1" x14ac:dyDescent="0.2">
      <c r="A113" s="588" t="s">
        <v>162</v>
      </c>
      <c r="B113" s="281">
        <v>0</v>
      </c>
      <c r="C113" s="282">
        <v>0</v>
      </c>
      <c r="D113" s="601">
        <v>0</v>
      </c>
      <c r="E113" s="285">
        <v>0</v>
      </c>
      <c r="F113" s="594"/>
      <c r="G113" s="492"/>
      <c r="H113" s="493"/>
      <c r="I113" s="494"/>
      <c r="J113" s="283">
        <v>0</v>
      </c>
      <c r="K113" s="283">
        <v>0</v>
      </c>
      <c r="L113" s="283">
        <v>0</v>
      </c>
      <c r="M113" s="283">
        <v>0</v>
      </c>
      <c r="N113" s="283">
        <v>0</v>
      </c>
      <c r="O113" s="284">
        <v>0</v>
      </c>
      <c r="P113" s="280">
        <v>0</v>
      </c>
    </row>
    <row r="114" spans="1:16" s="269" customFormat="1" ht="36" x14ac:dyDescent="0.2">
      <c r="A114" s="588" t="s">
        <v>163</v>
      </c>
      <c r="B114" s="281">
        <v>0</v>
      </c>
      <c r="C114" s="282">
        <v>0</v>
      </c>
      <c r="D114" s="601">
        <v>0</v>
      </c>
      <c r="E114" s="285">
        <v>0</v>
      </c>
      <c r="F114" s="594"/>
      <c r="G114" s="492"/>
      <c r="H114" s="493"/>
      <c r="I114" s="494"/>
      <c r="J114" s="283">
        <v>0</v>
      </c>
      <c r="K114" s="283">
        <v>0</v>
      </c>
      <c r="L114" s="283">
        <v>0</v>
      </c>
      <c r="M114" s="283">
        <v>0</v>
      </c>
      <c r="N114" s="283">
        <v>0</v>
      </c>
      <c r="O114" s="284">
        <v>0</v>
      </c>
      <c r="P114" s="280">
        <v>0</v>
      </c>
    </row>
    <row r="115" spans="1:16" s="269" customFormat="1" ht="24" x14ac:dyDescent="0.2">
      <c r="A115" s="588" t="s">
        <v>164</v>
      </c>
      <c r="B115" s="281">
        <v>0</v>
      </c>
      <c r="C115" s="282">
        <v>0</v>
      </c>
      <c r="D115" s="601">
        <v>0</v>
      </c>
      <c r="E115" s="285">
        <v>0</v>
      </c>
      <c r="F115" s="594"/>
      <c r="G115" s="492"/>
      <c r="H115" s="493"/>
      <c r="I115" s="494"/>
      <c r="J115" s="283">
        <v>0</v>
      </c>
      <c r="K115" s="283">
        <v>0</v>
      </c>
      <c r="L115" s="283">
        <v>0</v>
      </c>
      <c r="M115" s="283">
        <v>0</v>
      </c>
      <c r="N115" s="283">
        <v>0</v>
      </c>
      <c r="O115" s="284">
        <v>0</v>
      </c>
      <c r="P115" s="280">
        <v>0</v>
      </c>
    </row>
    <row r="116" spans="1:16" s="269" customFormat="1" ht="24" x14ac:dyDescent="0.2">
      <c r="A116" s="588" t="s">
        <v>165</v>
      </c>
      <c r="B116" s="281">
        <v>0</v>
      </c>
      <c r="C116" s="282">
        <v>0</v>
      </c>
      <c r="D116" s="601">
        <v>0</v>
      </c>
      <c r="E116" s="285">
        <v>0</v>
      </c>
      <c r="F116" s="594"/>
      <c r="G116" s="492"/>
      <c r="H116" s="493"/>
      <c r="I116" s="494"/>
      <c r="J116" s="283">
        <v>0</v>
      </c>
      <c r="K116" s="283">
        <v>0</v>
      </c>
      <c r="L116" s="283">
        <v>0</v>
      </c>
      <c r="M116" s="283">
        <v>0</v>
      </c>
      <c r="N116" s="283">
        <v>0</v>
      </c>
      <c r="O116" s="284">
        <v>0</v>
      </c>
      <c r="P116" s="280">
        <v>0</v>
      </c>
    </row>
    <row r="117" spans="1:16" s="269" customFormat="1" ht="24" x14ac:dyDescent="0.2">
      <c r="A117" s="588" t="s">
        <v>166</v>
      </c>
      <c r="B117" s="281">
        <v>0</v>
      </c>
      <c r="C117" s="282">
        <v>0</v>
      </c>
      <c r="D117" s="601">
        <v>0</v>
      </c>
      <c r="E117" s="285">
        <v>0</v>
      </c>
      <c r="F117" s="594"/>
      <c r="G117" s="492"/>
      <c r="H117" s="493"/>
      <c r="I117" s="494"/>
      <c r="J117" s="283">
        <v>0</v>
      </c>
      <c r="K117" s="283">
        <v>0</v>
      </c>
      <c r="L117" s="283">
        <v>0</v>
      </c>
      <c r="M117" s="283">
        <v>0</v>
      </c>
      <c r="N117" s="283">
        <v>0</v>
      </c>
      <c r="O117" s="284">
        <v>0</v>
      </c>
      <c r="P117" s="280">
        <v>0</v>
      </c>
    </row>
    <row r="118" spans="1:16" s="269" customFormat="1" ht="36" x14ac:dyDescent="0.2">
      <c r="A118" s="588" t="s">
        <v>167</v>
      </c>
      <c r="B118" s="281">
        <v>27.832999999999998</v>
      </c>
      <c r="C118" s="282">
        <v>37.332999999999998</v>
      </c>
      <c r="D118" s="601">
        <f>30.333</f>
        <v>30.332999999999998</v>
      </c>
      <c r="E118" s="285">
        <f t="shared" si="26"/>
        <v>4.3945130256971554E-2</v>
      </c>
      <c r="F118" s="594"/>
      <c r="G118" s="492"/>
      <c r="H118" s="493"/>
      <c r="I118" s="494"/>
      <c r="J118" s="283">
        <v>40</v>
      </c>
      <c r="K118" s="283">
        <v>51</v>
      </c>
      <c r="L118" s="283">
        <v>58</v>
      </c>
      <c r="M118" s="283">
        <v>66</v>
      </c>
      <c r="N118" s="283">
        <v>76</v>
      </c>
      <c r="O118" s="283">
        <v>86</v>
      </c>
      <c r="P118" s="280">
        <f>(POWER(O118/J118,1/5))-1</f>
        <v>0.16543402167042554</v>
      </c>
    </row>
    <row r="119" spans="1:16" s="269" customFormat="1" ht="36.75" thickBot="1" x14ac:dyDescent="0.25">
      <c r="A119" s="589" t="s">
        <v>168</v>
      </c>
      <c r="B119" s="598">
        <v>4.3330000000000002</v>
      </c>
      <c r="C119" s="599">
        <v>7</v>
      </c>
      <c r="D119" s="602">
        <v>4.25</v>
      </c>
      <c r="E119" s="389">
        <f t="shared" si="26"/>
        <v>-9.6239702213972711E-3</v>
      </c>
      <c r="F119" s="595"/>
      <c r="G119" s="495"/>
      <c r="H119" s="496"/>
      <c r="I119" s="491"/>
      <c r="J119" s="286">
        <v>1</v>
      </c>
      <c r="K119" s="286">
        <v>1</v>
      </c>
      <c r="L119" s="286">
        <v>2</v>
      </c>
      <c r="M119" s="286">
        <v>2</v>
      </c>
      <c r="N119" s="286">
        <v>2</v>
      </c>
      <c r="O119" s="286">
        <v>3</v>
      </c>
      <c r="P119" s="280">
        <f t="shared" si="27"/>
        <v>0.2457309396155174</v>
      </c>
    </row>
    <row r="120" spans="1:16" s="269" customFormat="1" ht="13.5" thickBot="1" x14ac:dyDescent="0.25">
      <c r="A120" s="120" t="s">
        <v>193</v>
      </c>
      <c r="B120" s="288">
        <f>SUM(B97:B119)</f>
        <v>146.917</v>
      </c>
      <c r="C120" s="289">
        <f>SUM(C97:C119)</f>
        <v>171.249</v>
      </c>
      <c r="D120" s="603">
        <f>SUM(D97:D119)</f>
        <v>178.583</v>
      </c>
      <c r="E120" s="295">
        <f t="shared" si="26"/>
        <v>0.10251379291069895</v>
      </c>
      <c r="F120" s="26">
        <v>164</v>
      </c>
      <c r="G120" s="25">
        <v>174</v>
      </c>
      <c r="H120" s="15">
        <v>174</v>
      </c>
      <c r="I120" s="11">
        <f>RATE(4,,-C120,H120)</f>
        <v>3.9921127169843754E-3</v>
      </c>
      <c r="J120" s="292">
        <f t="shared" ref="J120:O120" si="28">SUM(J97:J119)</f>
        <v>219</v>
      </c>
      <c r="K120" s="290">
        <f t="shared" si="28"/>
        <v>273</v>
      </c>
      <c r="L120" s="293">
        <f t="shared" si="28"/>
        <v>306</v>
      </c>
      <c r="M120" s="290">
        <f t="shared" si="28"/>
        <v>399</v>
      </c>
      <c r="N120" s="290">
        <f t="shared" si="28"/>
        <v>497</v>
      </c>
      <c r="O120" s="294">
        <f t="shared" si="28"/>
        <v>561</v>
      </c>
      <c r="P120" s="295">
        <f t="shared" si="27"/>
        <v>0.20699021492185832</v>
      </c>
    </row>
    <row r="121" spans="1:16" s="269" customFormat="1" x14ac:dyDescent="0.2"/>
  </sheetData>
  <mergeCells count="37">
    <mergeCell ref="J22:P22"/>
    <mergeCell ref="A10:P10"/>
    <mergeCell ref="A9:P9"/>
    <mergeCell ref="K11:Q11"/>
    <mergeCell ref="G11:J11"/>
    <mergeCell ref="A20:P20"/>
    <mergeCell ref="A21:P21"/>
    <mergeCell ref="B22:E22"/>
    <mergeCell ref="F22:I22"/>
    <mergeCell ref="B11:F11"/>
    <mergeCell ref="J67:O67"/>
    <mergeCell ref="K74:Q74"/>
    <mergeCell ref="J85:O85"/>
    <mergeCell ref="B67:F67"/>
    <mergeCell ref="B74:F74"/>
    <mergeCell ref="G74:J74"/>
    <mergeCell ref="A83:N83"/>
    <mergeCell ref="A84:N84"/>
    <mergeCell ref="A73:P73"/>
    <mergeCell ref="A72:P72"/>
    <mergeCell ref="A66:N66"/>
    <mergeCell ref="A65:N65"/>
    <mergeCell ref="A52:P52"/>
    <mergeCell ref="A51:P51"/>
    <mergeCell ref="K53:Q53"/>
    <mergeCell ref="K60:Q60"/>
    <mergeCell ref="A58:I58"/>
    <mergeCell ref="A59:I59"/>
    <mergeCell ref="G53:J53"/>
    <mergeCell ref="G60:J60"/>
    <mergeCell ref="B53:F53"/>
    <mergeCell ref="B60:F60"/>
    <mergeCell ref="A93:P93"/>
    <mergeCell ref="A94:P94"/>
    <mergeCell ref="B95:E95"/>
    <mergeCell ref="F95:I95"/>
    <mergeCell ref="J95:P95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tabSelected="1" workbookViewId="0">
      <selection activeCell="N78" sqref="N78"/>
    </sheetView>
  </sheetViews>
  <sheetFormatPr defaultRowHeight="12.75" x14ac:dyDescent="0.2"/>
  <cols>
    <col min="1" max="1" width="33" customWidth="1"/>
    <col min="10" max="10" width="11.140625" customWidth="1"/>
    <col min="11" max="16" width="9.7109375" customWidth="1"/>
  </cols>
  <sheetData>
    <row r="1" spans="1:22" s="68" customFormat="1" ht="23.25" x14ac:dyDescent="0.35">
      <c r="A1" s="66" t="s">
        <v>72</v>
      </c>
      <c r="B1" s="67"/>
      <c r="C1" s="67"/>
      <c r="D1" s="67"/>
      <c r="E1" s="67"/>
      <c r="F1" s="67"/>
      <c r="G1" s="67"/>
    </row>
    <row r="2" spans="1:22" s="74" customFormat="1" ht="21" thickBot="1" x14ac:dyDescent="0.35">
      <c r="A2" s="75"/>
      <c r="B2" s="76"/>
      <c r="C2" s="77"/>
      <c r="D2" s="76"/>
      <c r="E2" s="76"/>
      <c r="F2" s="76"/>
      <c r="G2" s="76"/>
    </row>
    <row r="3" spans="1:22" s="74" customFormat="1" ht="24" thickBot="1" x14ac:dyDescent="0.4">
      <c r="A3" s="45" t="s">
        <v>177</v>
      </c>
      <c r="B3" s="69"/>
      <c r="C3" s="69"/>
      <c r="D3" s="70"/>
      <c r="E3" s="71"/>
      <c r="F3" s="71"/>
      <c r="G3" s="71"/>
      <c r="H3" s="72"/>
      <c r="I3" s="72"/>
      <c r="J3" s="72"/>
      <c r="K3" s="72"/>
      <c r="L3" s="72"/>
      <c r="M3" s="73"/>
    </row>
    <row r="6" spans="1:22" ht="18" x14ac:dyDescent="0.25">
      <c r="A6" s="6" t="s">
        <v>56</v>
      </c>
    </row>
    <row r="7" spans="1:22" x14ac:dyDescent="0.2">
      <c r="A7" t="s">
        <v>51</v>
      </c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</row>
    <row r="8" spans="1:22" x14ac:dyDescent="0.2"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</row>
    <row r="9" spans="1:22" x14ac:dyDescent="0.2"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</row>
    <row r="10" spans="1:22" ht="15.75" x14ac:dyDescent="0.25">
      <c r="A10" s="644" t="s">
        <v>47</v>
      </c>
      <c r="B10" s="644"/>
      <c r="C10" s="644"/>
      <c r="D10" s="644"/>
      <c r="E10" s="644"/>
      <c r="F10" s="644"/>
      <c r="G10" s="644"/>
      <c r="H10" s="644"/>
      <c r="I10" s="644"/>
      <c r="J10" s="644"/>
      <c r="K10" s="644"/>
      <c r="L10" s="644"/>
      <c r="M10" s="644"/>
      <c r="N10" s="644"/>
      <c r="O10" s="644"/>
      <c r="P10" s="644"/>
      <c r="Q10" s="644"/>
    </row>
    <row r="11" spans="1:22" ht="16.5" thickBot="1" x14ac:dyDescent="0.3">
      <c r="A11" s="643" t="s">
        <v>16</v>
      </c>
      <c r="B11" s="643"/>
      <c r="C11" s="643"/>
      <c r="D11" s="643"/>
      <c r="E11" s="643"/>
      <c r="F11" s="643"/>
      <c r="G11" s="643"/>
      <c r="H11" s="643"/>
      <c r="I11" s="643"/>
      <c r="J11" s="643"/>
      <c r="K11" s="643"/>
      <c r="L11" s="643"/>
      <c r="M11" s="643"/>
      <c r="N11" s="643"/>
      <c r="O11" s="643"/>
      <c r="P11" s="643"/>
      <c r="Q11" s="643"/>
    </row>
    <row r="12" spans="1:22" ht="16.5" thickBot="1" x14ac:dyDescent="0.3">
      <c r="A12" s="52"/>
      <c r="B12" s="650" t="s">
        <v>75</v>
      </c>
      <c r="C12" s="651"/>
      <c r="D12" s="651"/>
      <c r="E12" s="651"/>
      <c r="F12" s="652"/>
      <c r="G12" s="645" t="s">
        <v>171</v>
      </c>
      <c r="H12" s="645"/>
      <c r="I12" s="645"/>
      <c r="J12" s="646"/>
      <c r="K12" s="647" t="s">
        <v>3</v>
      </c>
      <c r="L12" s="648"/>
      <c r="M12" s="648"/>
      <c r="N12" s="648"/>
      <c r="O12" s="648"/>
      <c r="P12" s="648"/>
      <c r="Q12" s="649"/>
    </row>
    <row r="13" spans="1:22" ht="60.75" thickBot="1" x14ac:dyDescent="0.25">
      <c r="A13" s="38"/>
      <c r="B13" s="88">
        <v>2008</v>
      </c>
      <c r="C13" s="7">
        <v>2009</v>
      </c>
      <c r="D13" s="7">
        <v>2010</v>
      </c>
      <c r="E13" s="7">
        <v>2011</v>
      </c>
      <c r="F13" s="391">
        <v>2012</v>
      </c>
      <c r="G13" s="148" t="s">
        <v>172</v>
      </c>
      <c r="H13" s="10" t="s">
        <v>76</v>
      </c>
      <c r="I13" s="39" t="s">
        <v>77</v>
      </c>
      <c r="J13" s="9" t="s">
        <v>0</v>
      </c>
      <c r="K13" s="88" t="s">
        <v>65</v>
      </c>
      <c r="L13" s="10" t="s">
        <v>66</v>
      </c>
      <c r="M13" s="10" t="s">
        <v>67</v>
      </c>
      <c r="N13" s="10" t="s">
        <v>68</v>
      </c>
      <c r="O13" s="10" t="s">
        <v>69</v>
      </c>
      <c r="P13" s="39" t="s">
        <v>70</v>
      </c>
      <c r="Q13" s="9" t="s">
        <v>71</v>
      </c>
    </row>
    <row r="14" spans="1:22" ht="13.5" thickBot="1" x14ac:dyDescent="0.25">
      <c r="A14" s="610" t="s">
        <v>62</v>
      </c>
      <c r="B14" s="614">
        <v>296</v>
      </c>
      <c r="C14" s="615">
        <v>450</v>
      </c>
      <c r="D14" s="616">
        <v>446</v>
      </c>
      <c r="E14" s="615">
        <v>340</v>
      </c>
      <c r="F14" s="617">
        <v>357</v>
      </c>
      <c r="G14" s="63">
        <v>440</v>
      </c>
      <c r="H14" s="63">
        <v>450</v>
      </c>
      <c r="I14" s="64">
        <v>465</v>
      </c>
      <c r="J14" s="11">
        <f>(POWER(I14/C14,1/4))-1</f>
        <v>8.2311468433848844E-3</v>
      </c>
      <c r="K14" s="93">
        <v>389</v>
      </c>
      <c r="L14" s="136">
        <v>424</v>
      </c>
      <c r="M14" s="94">
        <v>462</v>
      </c>
      <c r="N14" s="94">
        <v>494</v>
      </c>
      <c r="O14" s="94">
        <v>524</v>
      </c>
      <c r="P14" s="49">
        <v>534</v>
      </c>
      <c r="Q14" s="253">
        <f>(POWER(P14/K14,1/5))-1</f>
        <v>6.5413832782707404E-2</v>
      </c>
    </row>
    <row r="15" spans="1:22" x14ac:dyDescent="0.2">
      <c r="A15" s="40" t="s">
        <v>48</v>
      </c>
      <c r="B15" s="611">
        <v>974</v>
      </c>
      <c r="C15" s="612">
        <v>1160</v>
      </c>
      <c r="D15" s="464">
        <v>1307</v>
      </c>
      <c r="E15" s="465">
        <v>1332</v>
      </c>
      <c r="F15" s="613">
        <v>1376</v>
      </c>
      <c r="G15" s="27">
        <v>1476</v>
      </c>
      <c r="H15" s="27">
        <v>1546</v>
      </c>
      <c r="I15" s="20">
        <v>1566</v>
      </c>
      <c r="J15" s="12">
        <f>(POWER(I15/C15,1/4))-1</f>
        <v>7.7912335889252615E-2</v>
      </c>
      <c r="K15" s="90">
        <v>1501</v>
      </c>
      <c r="L15" s="138">
        <v>1636</v>
      </c>
      <c r="M15" s="90">
        <v>1690</v>
      </c>
      <c r="N15" s="90">
        <v>1720</v>
      </c>
      <c r="O15" s="90">
        <v>1770</v>
      </c>
      <c r="P15" s="91">
        <v>1795</v>
      </c>
      <c r="Q15" s="12">
        <f t="shared" ref="Q15:Q17" si="0">(POWER(P15/K15,1/5))-1</f>
        <v>3.6422307871175397E-2</v>
      </c>
    </row>
    <row r="16" spans="1:22" ht="13.5" thickBot="1" x14ac:dyDescent="0.25">
      <c r="A16" s="54" t="s">
        <v>49</v>
      </c>
      <c r="B16" s="607">
        <v>65</v>
      </c>
      <c r="C16" s="608">
        <v>81</v>
      </c>
      <c r="D16" s="349">
        <v>90</v>
      </c>
      <c r="E16" s="507">
        <f>72</f>
        <v>72</v>
      </c>
      <c r="F16" s="609">
        <v>78</v>
      </c>
      <c r="G16" s="159">
        <v>110</v>
      </c>
      <c r="H16" s="159">
        <v>110</v>
      </c>
      <c r="I16" s="199">
        <v>115</v>
      </c>
      <c r="J16" s="166">
        <f>(POWER(I16/C16,1/4))-1</f>
        <v>9.157405687401754E-2</v>
      </c>
      <c r="K16" s="89">
        <v>86</v>
      </c>
      <c r="L16" s="137">
        <v>94</v>
      </c>
      <c r="M16" s="89">
        <v>100</v>
      </c>
      <c r="N16" s="89">
        <v>105</v>
      </c>
      <c r="O16" s="89">
        <v>115</v>
      </c>
      <c r="P16" s="260">
        <v>124</v>
      </c>
      <c r="Q16" s="166">
        <f t="shared" si="0"/>
        <v>7.5931560109328222E-2</v>
      </c>
    </row>
    <row r="17" spans="1:19" ht="13.5" thickBot="1" x14ac:dyDescent="0.25">
      <c r="A17" s="23" t="s">
        <v>63</v>
      </c>
      <c r="B17" s="475">
        <f>SUM(B15:B16)</f>
        <v>1039</v>
      </c>
      <c r="C17" s="338">
        <f t="shared" ref="C17:I17" si="1">SUM(C15:C16)</f>
        <v>1241</v>
      </c>
      <c r="D17" s="338">
        <f t="shared" si="1"/>
        <v>1397</v>
      </c>
      <c r="E17" s="605">
        <f t="shared" si="1"/>
        <v>1404</v>
      </c>
      <c r="F17" s="606">
        <f>SUM(F15:F16)</f>
        <v>1454</v>
      </c>
      <c r="G17" s="25">
        <f t="shared" si="1"/>
        <v>1586</v>
      </c>
      <c r="H17" s="25">
        <f t="shared" si="1"/>
        <v>1656</v>
      </c>
      <c r="I17" s="16">
        <f t="shared" si="1"/>
        <v>1681</v>
      </c>
      <c r="J17" s="11">
        <f>(POWER(I17/C17,1/4))-1</f>
        <v>7.8819984704353807E-2</v>
      </c>
      <c r="K17" s="26">
        <f t="shared" ref="K17:P17" si="2">K15+K16</f>
        <v>1587</v>
      </c>
      <c r="L17" s="14">
        <f t="shared" si="2"/>
        <v>1730</v>
      </c>
      <c r="M17" s="25">
        <f t="shared" si="2"/>
        <v>1790</v>
      </c>
      <c r="N17" s="25">
        <f t="shared" si="2"/>
        <v>1825</v>
      </c>
      <c r="O17" s="25">
        <f t="shared" si="2"/>
        <v>1885</v>
      </c>
      <c r="P17" s="25">
        <f t="shared" si="2"/>
        <v>1919</v>
      </c>
      <c r="Q17" s="208">
        <f t="shared" si="0"/>
        <v>3.8722668674774585E-2</v>
      </c>
    </row>
    <row r="20" spans="1:19" ht="15.75" x14ac:dyDescent="0.25">
      <c r="A20" s="644" t="s">
        <v>57</v>
      </c>
      <c r="B20" s="644"/>
      <c r="C20" s="644"/>
      <c r="D20" s="644"/>
      <c r="E20" s="644"/>
      <c r="F20" s="644"/>
      <c r="G20" s="644"/>
      <c r="H20" s="644"/>
      <c r="I20" s="644"/>
      <c r="J20" s="644"/>
      <c r="K20" s="644"/>
      <c r="L20" s="644"/>
      <c r="M20" s="644"/>
      <c r="N20" s="644"/>
      <c r="O20" s="644"/>
      <c r="P20" s="644"/>
      <c r="Q20" s="644"/>
      <c r="R20" s="36"/>
      <c r="S20" s="1"/>
    </row>
    <row r="21" spans="1:19" ht="16.5" thickBot="1" x14ac:dyDescent="0.3">
      <c r="A21" s="643" t="s">
        <v>11</v>
      </c>
      <c r="B21" s="643"/>
      <c r="C21" s="643"/>
      <c r="D21" s="643"/>
      <c r="E21" s="643"/>
      <c r="F21" s="643"/>
      <c r="G21" s="643"/>
      <c r="H21" s="643"/>
      <c r="I21" s="643"/>
      <c r="J21" s="643"/>
      <c r="K21" s="643"/>
      <c r="L21" s="643"/>
      <c r="M21" s="643"/>
      <c r="N21" s="643"/>
      <c r="O21" s="643"/>
      <c r="P21" s="643"/>
      <c r="Q21" s="643"/>
      <c r="R21" s="43"/>
      <c r="S21" s="1"/>
    </row>
    <row r="22" spans="1:19" ht="16.5" thickBot="1" x14ac:dyDescent="0.3">
      <c r="A22" s="139"/>
      <c r="B22" s="650" t="s">
        <v>75</v>
      </c>
      <c r="C22" s="651"/>
      <c r="D22" s="651"/>
      <c r="E22" s="651"/>
      <c r="F22" s="652"/>
      <c r="G22" s="647" t="s">
        <v>171</v>
      </c>
      <c r="H22" s="663"/>
      <c r="I22" s="663"/>
      <c r="J22" s="664"/>
      <c r="K22" s="647" t="s">
        <v>6</v>
      </c>
      <c r="L22" s="663"/>
      <c r="M22" s="663"/>
      <c r="N22" s="663"/>
      <c r="O22" s="663"/>
      <c r="P22" s="663"/>
      <c r="Q22" s="664"/>
      <c r="R22" s="17"/>
      <c r="S22" s="17"/>
    </row>
    <row r="23" spans="1:19" ht="60.75" thickBot="1" x14ac:dyDescent="0.25">
      <c r="A23" s="38"/>
      <c r="B23" s="359">
        <v>2008</v>
      </c>
      <c r="C23" s="368">
        <v>2009</v>
      </c>
      <c r="D23" s="368">
        <v>2010</v>
      </c>
      <c r="E23" s="368">
        <v>2011</v>
      </c>
      <c r="F23" s="395">
        <v>2012</v>
      </c>
      <c r="G23" s="148" t="s">
        <v>172</v>
      </c>
      <c r="H23" s="10" t="s">
        <v>76</v>
      </c>
      <c r="I23" s="39" t="s">
        <v>77</v>
      </c>
      <c r="J23" s="256" t="s">
        <v>0</v>
      </c>
      <c r="K23" s="88" t="s">
        <v>65</v>
      </c>
      <c r="L23" s="10" t="s">
        <v>66</v>
      </c>
      <c r="M23" s="10" t="s">
        <v>67</v>
      </c>
      <c r="N23" s="10" t="s">
        <v>68</v>
      </c>
      <c r="O23" s="10" t="s">
        <v>69</v>
      </c>
      <c r="P23" s="39" t="s">
        <v>70</v>
      </c>
      <c r="Q23" s="256" t="s">
        <v>71</v>
      </c>
    </row>
    <row r="24" spans="1:19" x14ac:dyDescent="0.2">
      <c r="A24" s="204" t="s">
        <v>194</v>
      </c>
      <c r="B24" s="209">
        <v>803.52099999999996</v>
      </c>
      <c r="C24" s="210">
        <v>1020.251</v>
      </c>
      <c r="D24" s="618">
        <v>1198.9680000000001</v>
      </c>
      <c r="E24" s="618">
        <f>265.73+501.184+88.345+394.216</f>
        <v>1249.4749999999999</v>
      </c>
      <c r="F24" s="619">
        <v>1276</v>
      </c>
      <c r="G24" s="215">
        <v>859</v>
      </c>
      <c r="H24" s="210">
        <v>905</v>
      </c>
      <c r="I24" s="254">
        <v>921</v>
      </c>
      <c r="J24" s="12">
        <f>(POWER(I24/C24,1/4))-1</f>
        <v>-2.5261432216282853E-2</v>
      </c>
      <c r="K24" s="248">
        <v>1408</v>
      </c>
      <c r="L24" s="248">
        <v>1535</v>
      </c>
      <c r="M24" s="248">
        <v>1585</v>
      </c>
      <c r="N24" s="248">
        <v>1613</v>
      </c>
      <c r="O24" s="248">
        <v>1660</v>
      </c>
      <c r="P24" s="261">
        <v>1684</v>
      </c>
      <c r="Q24" s="12">
        <f t="shared" ref="Q24:Q25" si="3">(POWER(P24/K24,1/5))-1</f>
        <v>3.6448879757223107E-2</v>
      </c>
    </row>
    <row r="25" spans="1:19" ht="13.5" thickBot="1" x14ac:dyDescent="0.25">
      <c r="A25" s="205" t="s">
        <v>195</v>
      </c>
      <c r="B25" s="620">
        <v>56.414999999999999</v>
      </c>
      <c r="C25" s="621">
        <v>76.725999999999999</v>
      </c>
      <c r="D25" s="622">
        <v>72.930999999999997</v>
      </c>
      <c r="E25" s="622">
        <v>63.267000000000003</v>
      </c>
      <c r="F25" s="623">
        <v>64</v>
      </c>
      <c r="G25" s="214">
        <v>95</v>
      </c>
      <c r="H25" s="211">
        <v>95</v>
      </c>
      <c r="I25" s="255">
        <v>100</v>
      </c>
      <c r="J25" s="166">
        <f>(POWER(I25/C25,1/4))-1</f>
        <v>6.8474989084483129E-2</v>
      </c>
      <c r="K25" s="115">
        <v>76</v>
      </c>
      <c r="L25" s="249">
        <v>83</v>
      </c>
      <c r="M25" s="249">
        <v>88</v>
      </c>
      <c r="N25" s="115">
        <v>92</v>
      </c>
      <c r="O25" s="115">
        <v>101</v>
      </c>
      <c r="P25" s="169">
        <v>109</v>
      </c>
      <c r="Q25" s="166">
        <f t="shared" si="3"/>
        <v>7.4787436337870661E-2</v>
      </c>
    </row>
    <row r="26" spans="1:19" x14ac:dyDescent="0.2">
      <c r="A26" s="206"/>
      <c r="B26" s="207"/>
      <c r="C26" s="207"/>
    </row>
    <row r="28" spans="1:19" ht="15.75" x14ac:dyDescent="0.25">
      <c r="A28" s="644" t="s">
        <v>58</v>
      </c>
      <c r="B28" s="644"/>
      <c r="C28" s="644"/>
      <c r="D28" s="644"/>
      <c r="E28" s="644"/>
      <c r="F28" s="644"/>
      <c r="G28" s="644"/>
      <c r="H28" s="644"/>
      <c r="I28" s="644"/>
      <c r="J28" s="644"/>
      <c r="K28" s="644"/>
      <c r="L28" s="644"/>
      <c r="M28" s="644"/>
      <c r="N28" s="644"/>
      <c r="O28" s="644"/>
      <c r="P28" s="644"/>
      <c r="Q28" s="644"/>
    </row>
    <row r="29" spans="1:19" ht="16.5" thickBot="1" x14ac:dyDescent="0.3">
      <c r="A29" s="643" t="s">
        <v>12</v>
      </c>
      <c r="B29" s="643"/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</row>
    <row r="30" spans="1:19" ht="16.5" thickBot="1" x14ac:dyDescent="0.3">
      <c r="A30" s="52"/>
      <c r="B30" s="650" t="s">
        <v>75</v>
      </c>
      <c r="C30" s="651"/>
      <c r="D30" s="651"/>
      <c r="E30" s="651"/>
      <c r="F30" s="652"/>
      <c r="G30" s="647" t="s">
        <v>171</v>
      </c>
      <c r="H30" s="645"/>
      <c r="I30" s="645"/>
      <c r="J30" s="646"/>
      <c r="K30" s="647" t="s">
        <v>8</v>
      </c>
      <c r="L30" s="648"/>
      <c r="M30" s="648"/>
      <c r="N30" s="648"/>
      <c r="O30" s="648"/>
      <c r="P30" s="648"/>
      <c r="Q30" s="649"/>
    </row>
    <row r="31" spans="1:19" ht="60.75" thickBot="1" x14ac:dyDescent="0.25">
      <c r="A31" s="38"/>
      <c r="B31" s="359">
        <v>2008</v>
      </c>
      <c r="C31" s="368">
        <v>2009</v>
      </c>
      <c r="D31" s="368">
        <v>2010</v>
      </c>
      <c r="E31" s="368">
        <v>2011</v>
      </c>
      <c r="F31" s="395">
        <v>2012</v>
      </c>
      <c r="G31" s="148" t="s">
        <v>172</v>
      </c>
      <c r="H31" s="10" t="s">
        <v>76</v>
      </c>
      <c r="I31" s="39" t="s">
        <v>77</v>
      </c>
      <c r="J31" s="256" t="s">
        <v>0</v>
      </c>
      <c r="K31" s="88" t="s">
        <v>65</v>
      </c>
      <c r="L31" s="10" t="s">
        <v>66</v>
      </c>
      <c r="M31" s="10" t="s">
        <v>67</v>
      </c>
      <c r="N31" s="10" t="s">
        <v>68</v>
      </c>
      <c r="O31" s="10" t="s">
        <v>69</v>
      </c>
      <c r="P31" s="39" t="s">
        <v>70</v>
      </c>
      <c r="Q31" s="9" t="s">
        <v>71</v>
      </c>
    </row>
    <row r="32" spans="1:19" x14ac:dyDescent="0.2">
      <c r="A32" s="204" t="s">
        <v>196</v>
      </c>
      <c r="B32" s="209">
        <v>708.11500000000001</v>
      </c>
      <c r="C32" s="210">
        <v>896.02599999999995</v>
      </c>
      <c r="D32" s="618">
        <v>1045.5119999999999</v>
      </c>
      <c r="E32" s="618">
        <v>1091.2239999999999</v>
      </c>
      <c r="F32" s="619">
        <v>1134</v>
      </c>
      <c r="G32" s="215">
        <v>754</v>
      </c>
      <c r="H32" s="215">
        <v>795</v>
      </c>
      <c r="I32" s="257">
        <v>809</v>
      </c>
      <c r="J32" s="12">
        <f>(POWER(I32/C32,1/4))-1</f>
        <v>-2.5219175206559807E-2</v>
      </c>
      <c r="K32" s="250">
        <v>1232</v>
      </c>
      <c r="L32" s="250">
        <v>1345</v>
      </c>
      <c r="M32" s="250">
        <v>1391</v>
      </c>
      <c r="N32" s="250">
        <v>1417</v>
      </c>
      <c r="O32" s="250">
        <v>1461</v>
      </c>
      <c r="P32" s="250">
        <v>1484</v>
      </c>
      <c r="Q32" s="12">
        <f t="shared" ref="Q32:Q33" si="4">(POWER(P32/K32,1/5))-1</f>
        <v>3.7921811632987579E-2</v>
      </c>
    </row>
    <row r="33" spans="1:17" ht="13.5" thickBot="1" x14ac:dyDescent="0.25">
      <c r="A33" s="205" t="s">
        <v>197</v>
      </c>
      <c r="B33" s="624">
        <v>54.228000000000002</v>
      </c>
      <c r="C33" s="625">
        <v>72.513000000000005</v>
      </c>
      <c r="D33" s="621">
        <v>71.445999999999998</v>
      </c>
      <c r="E33" s="621">
        <v>60.040999999999997</v>
      </c>
      <c r="F33" s="626">
        <v>61</v>
      </c>
      <c r="G33" s="216">
        <v>90</v>
      </c>
      <c r="H33" s="216">
        <v>90</v>
      </c>
      <c r="I33" s="258">
        <v>95</v>
      </c>
      <c r="J33" s="166">
        <f>(POWER(I33/C33,1/4))-1</f>
        <v>6.9859957286313668E-2</v>
      </c>
      <c r="K33" s="251">
        <v>72.278757084269316</v>
      </c>
      <c r="L33" s="251">
        <v>79.104571789339133</v>
      </c>
      <c r="M33" s="251">
        <v>84.049004095123479</v>
      </c>
      <c r="N33" s="251">
        <v>88.057050613762968</v>
      </c>
      <c r="O33" s="251">
        <v>96.877760242618791</v>
      </c>
      <c r="P33" s="251">
        <v>104.774506</v>
      </c>
      <c r="Q33" s="166">
        <f t="shared" si="4"/>
        <v>7.7082548392324979E-2</v>
      </c>
    </row>
    <row r="36" spans="1:17" ht="15.75" x14ac:dyDescent="0.25">
      <c r="A36" s="644" t="s">
        <v>59</v>
      </c>
      <c r="B36" s="644"/>
      <c r="C36" s="644"/>
      <c r="D36" s="644"/>
      <c r="E36" s="644"/>
      <c r="F36" s="644"/>
      <c r="G36" s="644"/>
      <c r="H36" s="644"/>
      <c r="I36" s="644"/>
      <c r="J36" s="644"/>
      <c r="K36" s="644"/>
      <c r="L36" s="644"/>
      <c r="M36" s="644"/>
      <c r="N36" s="644"/>
      <c r="O36" s="644"/>
    </row>
    <row r="37" spans="1:17" ht="16.5" thickBot="1" x14ac:dyDescent="0.3">
      <c r="A37" s="643" t="s">
        <v>13</v>
      </c>
      <c r="B37" s="643"/>
      <c r="C37" s="643"/>
      <c r="D37" s="643"/>
      <c r="E37" s="643"/>
      <c r="F37" s="643"/>
      <c r="G37" s="643"/>
      <c r="H37" s="643"/>
      <c r="I37" s="643"/>
      <c r="J37" s="643"/>
      <c r="K37" s="643"/>
      <c r="L37" s="643"/>
      <c r="M37" s="643"/>
      <c r="N37" s="643"/>
      <c r="O37" s="643"/>
    </row>
    <row r="38" spans="1:17" ht="16.5" thickBot="1" x14ac:dyDescent="0.3">
      <c r="A38" s="52"/>
      <c r="B38" s="647" t="s">
        <v>75</v>
      </c>
      <c r="C38" s="645"/>
      <c r="D38" s="645"/>
      <c r="E38" s="645"/>
      <c r="F38" s="646"/>
      <c r="G38" s="140" t="s">
        <v>73</v>
      </c>
      <c r="H38" s="140"/>
      <c r="I38" s="141"/>
      <c r="J38" s="647" t="s">
        <v>8</v>
      </c>
      <c r="K38" s="645"/>
      <c r="L38" s="645"/>
      <c r="M38" s="645"/>
      <c r="N38" s="645"/>
      <c r="O38" s="646"/>
    </row>
    <row r="39" spans="1:17" ht="36.75" thickBot="1" x14ac:dyDescent="0.25">
      <c r="A39" s="51"/>
      <c r="B39" s="101">
        <v>2008</v>
      </c>
      <c r="C39" s="7">
        <v>2009</v>
      </c>
      <c r="D39" s="10">
        <v>2010</v>
      </c>
      <c r="E39" s="18">
        <v>2011</v>
      </c>
      <c r="F39" s="604">
        <v>2012</v>
      </c>
      <c r="G39" s="148" t="s">
        <v>172</v>
      </c>
      <c r="H39" s="10" t="s">
        <v>76</v>
      </c>
      <c r="I39" s="39" t="s">
        <v>77</v>
      </c>
      <c r="J39" s="88" t="s">
        <v>65</v>
      </c>
      <c r="K39" s="10" t="s">
        <v>66</v>
      </c>
      <c r="L39" s="10" t="s">
        <v>67</v>
      </c>
      <c r="M39" s="10" t="s">
        <v>68</v>
      </c>
      <c r="N39" s="10" t="s">
        <v>69</v>
      </c>
      <c r="O39" s="18" t="s">
        <v>70</v>
      </c>
    </row>
    <row r="40" spans="1:17" x14ac:dyDescent="0.2">
      <c r="A40" s="212" t="s">
        <v>198</v>
      </c>
      <c r="B40" s="224">
        <f>B32/B24</f>
        <v>0.88126508205759402</v>
      </c>
      <c r="C40" s="225">
        <f t="shared" ref="C40:I41" si="5">C32/C24</f>
        <v>0.87824074663979745</v>
      </c>
      <c r="D40" s="226">
        <f t="shared" si="5"/>
        <v>0.87200992853854309</v>
      </c>
      <c r="E40" s="227">
        <f t="shared" si="5"/>
        <v>0.87334600532223539</v>
      </c>
      <c r="F40" s="627">
        <f>F32/F24</f>
        <v>0.88871473354231978</v>
      </c>
      <c r="G40" s="229">
        <f t="shared" si="5"/>
        <v>0.87776484284051226</v>
      </c>
      <c r="H40" s="226">
        <f t="shared" si="5"/>
        <v>0.87845303867403313</v>
      </c>
      <c r="I40" s="227">
        <f t="shared" si="5"/>
        <v>0.87839305103148746</v>
      </c>
      <c r="J40" s="228">
        <f>K32/K24</f>
        <v>0.875</v>
      </c>
      <c r="K40" s="229">
        <f t="shared" ref="K40:O40" si="6">L32/L24</f>
        <v>0.87622149837133545</v>
      </c>
      <c r="L40" s="229">
        <f t="shared" si="6"/>
        <v>0.87760252365930602</v>
      </c>
      <c r="M40" s="229">
        <f t="shared" si="6"/>
        <v>0.87848729076255427</v>
      </c>
      <c r="N40" s="229">
        <f t="shared" si="6"/>
        <v>0.88012048192771086</v>
      </c>
      <c r="O40" s="230">
        <f t="shared" si="6"/>
        <v>0.88123515439429934</v>
      </c>
    </row>
    <row r="41" spans="1:17" ht="13.5" thickBot="1" x14ac:dyDescent="0.25">
      <c r="A41" s="213" t="s">
        <v>199</v>
      </c>
      <c r="B41" s="217">
        <f>B33/B25</f>
        <v>0.9612337144376496</v>
      </c>
      <c r="C41" s="218">
        <f t="shared" si="5"/>
        <v>0.94509032140343563</v>
      </c>
      <c r="D41" s="219">
        <f t="shared" si="5"/>
        <v>0.9796382882450535</v>
      </c>
      <c r="E41" s="220">
        <f t="shared" si="5"/>
        <v>0.94900975231953455</v>
      </c>
      <c r="F41" s="553">
        <f>F33/F25</f>
        <v>0.953125</v>
      </c>
      <c r="G41" s="222">
        <f t="shared" si="5"/>
        <v>0.94736842105263153</v>
      </c>
      <c r="H41" s="219">
        <f t="shared" si="5"/>
        <v>0.94736842105263153</v>
      </c>
      <c r="I41" s="220">
        <f t="shared" si="5"/>
        <v>0.95</v>
      </c>
      <c r="J41" s="221">
        <f>K33/K25</f>
        <v>0.95103627742459629</v>
      </c>
      <c r="K41" s="222">
        <f t="shared" ref="K41" si="7">L33/L25</f>
        <v>0.9530671299920378</v>
      </c>
      <c r="L41" s="222">
        <f t="shared" ref="L41" si="8">M33/M25</f>
        <v>0.95510231926276679</v>
      </c>
      <c r="M41" s="222">
        <f t="shared" ref="M41" si="9">N33/N25</f>
        <v>0.95714185449742362</v>
      </c>
      <c r="N41" s="222">
        <f t="shared" ref="N41" si="10">O33/O25</f>
        <v>0.95918574497642373</v>
      </c>
      <c r="O41" s="223">
        <f t="shared" ref="O41" si="11">P33/P25</f>
        <v>0.96123400000000003</v>
      </c>
    </row>
    <row r="44" spans="1:17" ht="15.75" customHeight="1" x14ac:dyDescent="0.25">
      <c r="A44" s="644" t="s">
        <v>60</v>
      </c>
      <c r="B44" s="644"/>
      <c r="C44" s="644"/>
      <c r="D44" s="644"/>
      <c r="E44" s="644"/>
      <c r="F44" s="644"/>
      <c r="G44" s="644"/>
      <c r="H44" s="644"/>
      <c r="I44" s="644"/>
      <c r="J44" s="644"/>
      <c r="K44" s="644"/>
      <c r="L44" s="644"/>
      <c r="M44" s="644"/>
      <c r="N44" s="644"/>
      <c r="O44" s="644"/>
      <c r="P44" s="644"/>
      <c r="Q44" s="644"/>
    </row>
    <row r="45" spans="1:17" ht="16.5" thickBot="1" x14ac:dyDescent="0.3">
      <c r="A45" s="643" t="s">
        <v>14</v>
      </c>
      <c r="B45" s="643"/>
      <c r="C45" s="643"/>
      <c r="D45" s="643"/>
      <c r="E45" s="643"/>
      <c r="F45" s="643"/>
      <c r="G45" s="643"/>
      <c r="H45" s="643"/>
      <c r="I45" s="643"/>
      <c r="J45" s="643"/>
      <c r="K45" s="643"/>
      <c r="L45" s="643"/>
      <c r="M45" s="643"/>
      <c r="N45" s="643"/>
      <c r="O45" s="643"/>
      <c r="P45" s="643"/>
      <c r="Q45" s="643"/>
    </row>
    <row r="46" spans="1:17" ht="16.5" thickBot="1" x14ac:dyDescent="0.3">
      <c r="A46" s="52"/>
      <c r="B46" s="647" t="s">
        <v>75</v>
      </c>
      <c r="C46" s="645"/>
      <c r="D46" s="645"/>
      <c r="E46" s="645"/>
      <c r="F46" s="646"/>
      <c r="G46" s="645" t="s">
        <v>74</v>
      </c>
      <c r="H46" s="645"/>
      <c r="I46" s="645"/>
      <c r="J46" s="646"/>
      <c r="K46" s="647" t="s">
        <v>15</v>
      </c>
      <c r="L46" s="648"/>
      <c r="M46" s="648"/>
      <c r="N46" s="648"/>
      <c r="O46" s="648"/>
      <c r="P46" s="648"/>
      <c r="Q46" s="649"/>
    </row>
    <row r="47" spans="1:17" ht="60.75" thickBot="1" x14ac:dyDescent="0.25">
      <c r="A47" s="38"/>
      <c r="B47" s="101">
        <v>2008</v>
      </c>
      <c r="C47" s="7">
        <v>2009</v>
      </c>
      <c r="D47" s="10">
        <v>2010</v>
      </c>
      <c r="E47" s="18">
        <v>2011</v>
      </c>
      <c r="F47" s="604">
        <v>2012</v>
      </c>
      <c r="G47" s="148" t="s">
        <v>172</v>
      </c>
      <c r="H47" s="10" t="s">
        <v>76</v>
      </c>
      <c r="I47" s="39" t="s">
        <v>77</v>
      </c>
      <c r="J47" s="256" t="s">
        <v>0</v>
      </c>
      <c r="K47" s="88" t="s">
        <v>65</v>
      </c>
      <c r="L47" s="10" t="s">
        <v>66</v>
      </c>
      <c r="M47" s="10" t="s">
        <v>67</v>
      </c>
      <c r="N47" s="10" t="s">
        <v>68</v>
      </c>
      <c r="O47" s="10" t="s">
        <v>69</v>
      </c>
      <c r="P47" s="39" t="s">
        <v>70</v>
      </c>
      <c r="Q47" s="9" t="s">
        <v>71</v>
      </c>
    </row>
    <row r="48" spans="1:17" x14ac:dyDescent="0.2">
      <c r="A48" s="40" t="s">
        <v>50</v>
      </c>
      <c r="B48" s="244">
        <v>195</v>
      </c>
      <c r="C48" s="240">
        <v>221</v>
      </c>
      <c r="D48" s="241">
        <f>58+33+82+29</f>
        <v>202</v>
      </c>
      <c r="E48" s="242">
        <f>42+76+61+28</f>
        <v>207</v>
      </c>
      <c r="F48" s="628">
        <v>250</v>
      </c>
      <c r="G48" s="142">
        <v>347</v>
      </c>
      <c r="H48" s="144">
        <v>363</v>
      </c>
      <c r="I48" s="195">
        <v>368</v>
      </c>
      <c r="J48" s="12">
        <f>(POWER(I48/C48,1/4))-1</f>
        <v>0.13596221597768965</v>
      </c>
      <c r="K48" s="248">
        <v>263</v>
      </c>
      <c r="L48" s="247">
        <v>290</v>
      </c>
      <c r="M48" s="247">
        <v>298</v>
      </c>
      <c r="N48" s="247">
        <v>316</v>
      </c>
      <c r="O48" s="247">
        <v>339</v>
      </c>
      <c r="P48" s="247">
        <v>343</v>
      </c>
      <c r="Q48" s="12">
        <f t="shared" ref="Q48:Q50" si="12">(POWER(P48/K48,1/5))-1</f>
        <v>5.4551209936684275E-2</v>
      </c>
    </row>
    <row r="49" spans="1:17" ht="13.5" thickBot="1" x14ac:dyDescent="0.25">
      <c r="A49" s="54" t="s">
        <v>49</v>
      </c>
      <c r="B49" s="147">
        <v>61</v>
      </c>
      <c r="C49" s="197">
        <v>59</v>
      </c>
      <c r="D49" s="243">
        <v>83</v>
      </c>
      <c r="E49" s="154">
        <f>60</f>
        <v>60</v>
      </c>
      <c r="F49" s="425">
        <v>70</v>
      </c>
      <c r="G49" s="520">
        <v>81</v>
      </c>
      <c r="H49" s="202">
        <v>81</v>
      </c>
      <c r="I49" s="259">
        <v>84</v>
      </c>
      <c r="J49" s="166">
        <f t="shared" ref="J49:J50" si="13">(POWER(I49/C49,1/4))-1</f>
        <v>9.2337437986534487E-2</v>
      </c>
      <c r="K49" s="111">
        <v>78</v>
      </c>
      <c r="L49" s="172">
        <v>85</v>
      </c>
      <c r="M49" s="172">
        <v>90</v>
      </c>
      <c r="N49" s="172">
        <v>94</v>
      </c>
      <c r="O49" s="172">
        <v>103</v>
      </c>
      <c r="P49" s="172">
        <v>94</v>
      </c>
      <c r="Q49" s="166">
        <f t="shared" si="12"/>
        <v>3.8022220052360778E-2</v>
      </c>
    </row>
    <row r="50" spans="1:17" ht="13.5" thickBot="1" x14ac:dyDescent="0.25">
      <c r="A50" s="23" t="s">
        <v>64</v>
      </c>
      <c r="B50" s="24">
        <f t="shared" ref="B50:C50" si="14">B48+B49</f>
        <v>256</v>
      </c>
      <c r="C50" s="14">
        <f t="shared" si="14"/>
        <v>280</v>
      </c>
      <c r="D50" s="157">
        <f>D48+D49</f>
        <v>285</v>
      </c>
      <c r="E50" s="84">
        <f>E48+E49</f>
        <v>267</v>
      </c>
      <c r="F50" s="417">
        <f>SUM(F48:F49)</f>
        <v>320</v>
      </c>
      <c r="G50" s="25">
        <f>G48+G49</f>
        <v>428</v>
      </c>
      <c r="H50" s="25">
        <f>H48+H49</f>
        <v>444</v>
      </c>
      <c r="I50" s="15">
        <f>I48+I49</f>
        <v>452</v>
      </c>
      <c r="J50" s="11">
        <f t="shared" si="13"/>
        <v>0.12718474070476415</v>
      </c>
      <c r="K50" s="26">
        <f t="shared" ref="K50:P50" si="15">K48+K49</f>
        <v>341</v>
      </c>
      <c r="L50" s="25">
        <f t="shared" si="15"/>
        <v>375</v>
      </c>
      <c r="M50" s="25">
        <f t="shared" si="15"/>
        <v>388</v>
      </c>
      <c r="N50" s="25">
        <f t="shared" si="15"/>
        <v>410</v>
      </c>
      <c r="O50" s="25">
        <f t="shared" si="15"/>
        <v>442</v>
      </c>
      <c r="P50" s="15">
        <f t="shared" si="15"/>
        <v>437</v>
      </c>
      <c r="Q50" s="262">
        <f t="shared" si="12"/>
        <v>5.0861331451391267E-2</v>
      </c>
    </row>
    <row r="51" spans="1:17" x14ac:dyDescent="0.2">
      <c r="A51" s="206"/>
      <c r="B51" s="207"/>
      <c r="C51" s="207"/>
      <c r="D51" s="252"/>
      <c r="E51" s="207"/>
      <c r="F51" s="207"/>
      <c r="G51" s="207"/>
      <c r="H51" s="207"/>
      <c r="I51" s="207"/>
      <c r="J51" s="105"/>
      <c r="K51" s="207"/>
      <c r="L51" s="207"/>
      <c r="M51" s="207"/>
      <c r="N51" s="207"/>
      <c r="O51" s="207"/>
      <c r="P51" s="207"/>
      <c r="Q51" s="105"/>
    </row>
    <row r="53" spans="1:17" ht="15.75" x14ac:dyDescent="0.25">
      <c r="A53" s="644" t="s">
        <v>61</v>
      </c>
      <c r="B53" s="644"/>
      <c r="C53" s="644"/>
      <c r="D53" s="644"/>
      <c r="E53" s="644"/>
      <c r="F53" s="644"/>
      <c r="G53" s="644"/>
      <c r="H53" s="644"/>
      <c r="I53" s="644"/>
      <c r="J53" s="644"/>
      <c r="K53" s="644"/>
      <c r="L53" s="644"/>
      <c r="M53" s="644"/>
      <c r="N53" s="644"/>
      <c r="O53" s="644"/>
    </row>
    <row r="54" spans="1:17" ht="16.5" thickBot="1" x14ac:dyDescent="0.3">
      <c r="A54" s="643" t="s">
        <v>7</v>
      </c>
      <c r="B54" s="643"/>
      <c r="C54" s="643"/>
      <c r="D54" s="643"/>
      <c r="E54" s="643"/>
      <c r="F54" s="643"/>
      <c r="G54" s="643"/>
      <c r="H54" s="643"/>
      <c r="I54" s="643"/>
      <c r="J54" s="643"/>
      <c r="K54" s="643"/>
      <c r="L54" s="643"/>
      <c r="M54" s="643"/>
      <c r="N54" s="643"/>
      <c r="O54" s="643"/>
      <c r="P54" s="43"/>
      <c r="Q54" s="43"/>
    </row>
    <row r="55" spans="1:17" ht="16.5" thickBot="1" x14ac:dyDescent="0.3">
      <c r="A55" s="52"/>
      <c r="B55" s="650" t="s">
        <v>75</v>
      </c>
      <c r="C55" s="651"/>
      <c r="D55" s="651"/>
      <c r="E55" s="651"/>
      <c r="F55" s="651"/>
      <c r="G55" s="140" t="s">
        <v>73</v>
      </c>
      <c r="H55" s="140"/>
      <c r="I55" s="141"/>
      <c r="J55" s="647" t="s">
        <v>8</v>
      </c>
      <c r="K55" s="645"/>
      <c r="L55" s="645"/>
      <c r="M55" s="645"/>
      <c r="N55" s="645"/>
      <c r="O55" s="646"/>
    </row>
    <row r="56" spans="1:17" ht="36.75" thickBot="1" x14ac:dyDescent="0.25">
      <c r="A56" s="38"/>
      <c r="B56" s="359">
        <v>2008</v>
      </c>
      <c r="C56" s="368">
        <v>2009</v>
      </c>
      <c r="D56" s="368">
        <v>2010</v>
      </c>
      <c r="E56" s="368">
        <v>2011</v>
      </c>
      <c r="F56" s="395">
        <v>2012</v>
      </c>
      <c r="G56" s="148" t="s">
        <v>172</v>
      </c>
      <c r="H56" s="10" t="s">
        <v>76</v>
      </c>
      <c r="I56" s="39" t="s">
        <v>77</v>
      </c>
      <c r="J56" s="88" t="s">
        <v>65</v>
      </c>
      <c r="K56" s="10" t="s">
        <v>66</v>
      </c>
      <c r="L56" s="10" t="s">
        <v>67</v>
      </c>
      <c r="M56" s="10" t="s">
        <v>68</v>
      </c>
      <c r="N56" s="10" t="s">
        <v>69</v>
      </c>
      <c r="O56" s="18" t="s">
        <v>70</v>
      </c>
    </row>
    <row r="57" spans="1:17" x14ac:dyDescent="0.2">
      <c r="A57" s="40" t="s">
        <v>50</v>
      </c>
      <c r="B57" s="97">
        <f t="shared" ref="B57:E59" si="16">B48/B15</f>
        <v>0.20020533880903491</v>
      </c>
      <c r="C57" s="149">
        <f t="shared" si="16"/>
        <v>0.19051724137931034</v>
      </c>
      <c r="D57" s="373">
        <f t="shared" si="16"/>
        <v>0.15455241009946441</v>
      </c>
      <c r="E57" s="149">
        <f t="shared" si="16"/>
        <v>0.1554054054054054</v>
      </c>
      <c r="F57" s="57">
        <f>F48/F24</f>
        <v>0.19592476489028213</v>
      </c>
      <c r="G57" s="151">
        <f t="shared" ref="G57" si="17">G48/G15</f>
        <v>0.23509485094850949</v>
      </c>
      <c r="H57" s="58">
        <f t="shared" ref="H57:I59" si="18">H48/H15</f>
        <v>0.23479948253557567</v>
      </c>
      <c r="I57" s="57">
        <f t="shared" si="18"/>
        <v>0.23499361430395913</v>
      </c>
      <c r="J57" s="97">
        <f>K48/K15</f>
        <v>0.17521652231845436</v>
      </c>
      <c r="K57" s="99">
        <f t="shared" ref="K57:O57" si="19">L48/L15</f>
        <v>0.17726161369193155</v>
      </c>
      <c r="L57" s="99">
        <f t="shared" si="19"/>
        <v>0.17633136094674556</v>
      </c>
      <c r="M57" s="99">
        <f t="shared" si="19"/>
        <v>0.18372093023255814</v>
      </c>
      <c r="N57" s="99">
        <f t="shared" si="19"/>
        <v>0.19152542372881357</v>
      </c>
      <c r="O57" s="95">
        <f t="shared" si="19"/>
        <v>0.19108635097493037</v>
      </c>
    </row>
    <row r="58" spans="1:17" ht="13.5" thickBot="1" x14ac:dyDescent="0.25">
      <c r="A58" s="54" t="s">
        <v>49</v>
      </c>
      <c r="B58" s="629">
        <f t="shared" si="16"/>
        <v>0.93846153846153846</v>
      </c>
      <c r="C58" s="630">
        <f t="shared" si="16"/>
        <v>0.72839506172839508</v>
      </c>
      <c r="D58" s="631">
        <f t="shared" si="16"/>
        <v>0.92222222222222228</v>
      </c>
      <c r="E58" s="630">
        <f t="shared" si="16"/>
        <v>0.83333333333333337</v>
      </c>
      <c r="F58" s="632">
        <f>F49/F16</f>
        <v>0.89743589743589747</v>
      </c>
      <c r="G58" s="152">
        <f t="shared" ref="G58" si="20">G49/G16</f>
        <v>0.73636363636363633</v>
      </c>
      <c r="H58" s="61">
        <f t="shared" si="18"/>
        <v>0.73636363636363633</v>
      </c>
      <c r="I58" s="60">
        <f t="shared" si="18"/>
        <v>0.73043478260869565</v>
      </c>
      <c r="J58" s="98">
        <f>K49/K16</f>
        <v>0.90697674418604646</v>
      </c>
      <c r="K58" s="100">
        <f t="shared" ref="K58:O58" si="21">L49/L16</f>
        <v>0.9042553191489362</v>
      </c>
      <c r="L58" s="100">
        <f t="shared" si="21"/>
        <v>0.9</v>
      </c>
      <c r="M58" s="100">
        <f t="shared" si="21"/>
        <v>0.89523809523809528</v>
      </c>
      <c r="N58" s="100">
        <f t="shared" si="21"/>
        <v>0.89565217391304353</v>
      </c>
      <c r="O58" s="96">
        <f t="shared" si="21"/>
        <v>0.75806451612903225</v>
      </c>
    </row>
    <row r="59" spans="1:17" ht="13.5" thickBot="1" x14ac:dyDescent="0.25">
      <c r="A59" s="23" t="s">
        <v>2</v>
      </c>
      <c r="B59" s="33">
        <f t="shared" si="16"/>
        <v>0.24639076034648702</v>
      </c>
      <c r="C59" s="150">
        <f t="shared" si="16"/>
        <v>0.22562449637389204</v>
      </c>
      <c r="D59" s="633">
        <f t="shared" si="16"/>
        <v>0.20400858983536149</v>
      </c>
      <c r="E59" s="150">
        <f t="shared" si="16"/>
        <v>0.19017094017094016</v>
      </c>
      <c r="F59" s="32">
        <f>F50/F17</f>
        <v>0.2200825309491059</v>
      </c>
      <c r="G59" s="30">
        <f t="shared" ref="G59" si="22">G50/G17</f>
        <v>0.26986128625472888</v>
      </c>
      <c r="H59" s="31">
        <f t="shared" si="18"/>
        <v>0.26811594202898553</v>
      </c>
      <c r="I59" s="32">
        <f t="shared" si="18"/>
        <v>0.26888756692444971</v>
      </c>
      <c r="J59" s="33">
        <f>K50/K17</f>
        <v>0.21487082545683681</v>
      </c>
      <c r="K59" s="34">
        <f t="shared" ref="K59:O59" si="23">L50/L17</f>
        <v>0.21676300578034682</v>
      </c>
      <c r="L59" s="34">
        <f t="shared" si="23"/>
        <v>0.21675977653631284</v>
      </c>
      <c r="M59" s="34">
        <f t="shared" si="23"/>
        <v>0.22465753424657534</v>
      </c>
      <c r="N59" s="34">
        <f t="shared" si="23"/>
        <v>0.23448275862068965</v>
      </c>
      <c r="O59" s="35">
        <f t="shared" si="23"/>
        <v>0.22772277227722773</v>
      </c>
    </row>
  </sheetData>
  <mergeCells count="28">
    <mergeCell ref="B12:F12"/>
    <mergeCell ref="B22:F22"/>
    <mergeCell ref="B46:F46"/>
    <mergeCell ref="B55:F55"/>
    <mergeCell ref="J55:O55"/>
    <mergeCell ref="A54:O54"/>
    <mergeCell ref="A53:O53"/>
    <mergeCell ref="G30:J30"/>
    <mergeCell ref="A29:Q29"/>
    <mergeCell ref="A28:Q28"/>
    <mergeCell ref="A21:Q21"/>
    <mergeCell ref="A20:Q20"/>
    <mergeCell ref="A10:Q10"/>
    <mergeCell ref="A11:Q11"/>
    <mergeCell ref="G46:J46"/>
    <mergeCell ref="A37:O37"/>
    <mergeCell ref="A36:O36"/>
    <mergeCell ref="A44:Q44"/>
    <mergeCell ref="A45:Q45"/>
    <mergeCell ref="K12:Q12"/>
    <mergeCell ref="K22:Q22"/>
    <mergeCell ref="K30:Q30"/>
    <mergeCell ref="J38:O38"/>
    <mergeCell ref="K46:Q46"/>
    <mergeCell ref="B30:F30"/>
    <mergeCell ref="B38:F38"/>
    <mergeCell ref="G12:J12"/>
    <mergeCell ref="G22:J22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NMMU Engineer</vt:lpstr>
      <vt:lpstr>NMMU Life Phys Sc</vt:lpstr>
      <vt:lpstr>NMMU Animal Science</vt:lpstr>
      <vt:lpstr>NMMU Vet Science</vt:lpstr>
      <vt:lpstr>NMMU Human Health</vt:lpstr>
      <vt:lpstr>NMMU Teacher Education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jskene</dc:creator>
  <cp:lastModifiedBy>Sheppard, Charles (Dr) (Summerstrand Campus North)</cp:lastModifiedBy>
  <cp:lastPrinted>2013-05-27T08:58:23Z</cp:lastPrinted>
  <dcterms:created xsi:type="dcterms:W3CDTF">2010-10-13T11:06:11Z</dcterms:created>
  <dcterms:modified xsi:type="dcterms:W3CDTF">2013-08-05T09:38:00Z</dcterms:modified>
</cp:coreProperties>
</file>